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5" windowWidth="15135" windowHeight="8130" tabRatio="599" activeTab="1"/>
  </bookViews>
  <sheets>
    <sheet name="ИТОГИ мониторинга" sheetId="27" r:id="rId1"/>
    <sheet name="Рейтинг ГРБС" sheetId="41" r:id="rId2"/>
    <sheet name="Итоги по ГРБС" sheetId="29" r:id="rId3"/>
    <sheet name="Итоги по ГРБС без коэф. " sheetId="42" r:id="rId4"/>
    <sheet name="коррект. коээф." sheetId="34" r:id="rId5"/>
    <sheet name=" РАСЧЕТЫ по каждому  ГРБС" sheetId="33" r:id="rId6"/>
    <sheet name="1.1. кач. план." sheetId="1" r:id="rId7"/>
    <sheet name="1.2. доля МЦП" sheetId="36" r:id="rId8"/>
    <sheet name="2.1. неис. БА" sheetId="4" r:id="rId9"/>
    <sheet name="2.2. неис. БА в части местн." sheetId="37" r:id="rId10"/>
    <sheet name="2.3. равн.расх" sheetId="5" r:id="rId11"/>
    <sheet name="2.4. кред.зад. пост." sheetId="6" r:id="rId12"/>
    <sheet name="2.5. плат. в бюдж." sheetId="7" r:id="rId13"/>
    <sheet name="2.6. МЦП" sheetId="8" r:id="rId14"/>
    <sheet name="3.1. исп. дох." sheetId="9" r:id="rId15"/>
    <sheet name="3.2. деб. зад." sheetId="10" r:id="rId16"/>
    <sheet name="4.1. иски о возм. ущ." sheetId="11" r:id="rId17"/>
    <sheet name="5.1. свед. о мерах" sheetId="13" r:id="rId18"/>
    <sheet name="5.2. свед. о инветариз" sheetId="38" r:id="rId19"/>
    <sheet name="5.3. свед. о рез-х фин. контр" sheetId="39" r:id="rId20"/>
    <sheet name="5.4. амортиз." sheetId="14" r:id="rId21"/>
    <sheet name="5.5. мат.запасы" sheetId="15" r:id="rId22"/>
    <sheet name="6.1.фин.контр." sheetId="16" r:id="rId23"/>
    <sheet name="6.2. подразд.фин.контр." sheetId="17" r:id="rId24"/>
    <sheet name="6.3. объем недостач и хищений" sheetId="18" r:id="rId25"/>
    <sheet name="7.1. нал станд кач " sheetId="19" r:id="rId26"/>
    <sheet name="7.2. пров оценки кач" sheetId="20" r:id="rId27"/>
    <sheet name="7.3. доля мун. услуг" sheetId="40" r:id="rId28"/>
    <sheet name="8.1. квалиф.сотр.фин-эк.подразд" sheetId="21" r:id="rId29"/>
  </sheets>
  <definedNames>
    <definedName name="_xlnm.Print_Titles" localSheetId="5">' РАСЧЕТЫ по каждому  ГРБС'!$A:$A</definedName>
    <definedName name="_xlnm.Print_Area" localSheetId="5">' РАСЧЕТЫ по каждому  ГРБС'!$A$1:$BS$37</definedName>
    <definedName name="_xlnm.Print_Area" localSheetId="6">'1.1. кач. план.'!$A$1:$F$22</definedName>
    <definedName name="_xlnm.Print_Area" localSheetId="7">'1.2. доля МЦП'!$A$1:$H$19</definedName>
    <definedName name="_xlnm.Print_Area" localSheetId="8">'2.1. неис. БА'!$A$1:$F$19</definedName>
    <definedName name="_xlnm.Print_Area" localSheetId="9">'2.2. неис. БА в части местн.'!$A$1:$F$19</definedName>
    <definedName name="_xlnm.Print_Area" localSheetId="10">'2.3. равн.расх'!$A$1:$H$19</definedName>
    <definedName name="_xlnm.Print_Area" localSheetId="11">'2.4. кред.зад. пост.'!$A$1:$F$19</definedName>
    <definedName name="_xlnm.Print_Area" localSheetId="12">'2.5. плат. в бюдж.'!$A$1:$F$19</definedName>
    <definedName name="_xlnm.Print_Area" localSheetId="13">'2.6. МЦП'!$A$1:$F$19</definedName>
    <definedName name="_xlnm.Print_Area" localSheetId="14">'3.1. исп. дох.'!$A$1:$F$19</definedName>
    <definedName name="_xlnm.Print_Area" localSheetId="15">'3.2. деб. зад.'!$A$1:$F$19</definedName>
    <definedName name="_xlnm.Print_Area" localSheetId="20">'5.4. амортиз.'!$A$1:$E$19</definedName>
    <definedName name="_xlnm.Print_Area" localSheetId="21">'5.5. мат.запасы'!$A$1:$E$19</definedName>
    <definedName name="_xlnm.Print_Area" localSheetId="24">'6.3. объем недостач и хищений'!$A$1:$L$19</definedName>
    <definedName name="_xlnm.Print_Area" localSheetId="0">'ИТОГИ мониторинга'!$A$1:$D$24</definedName>
    <definedName name="_xlnm.Print_Area" localSheetId="2">'Итоги по ГРБС'!$A$1:$F$20</definedName>
    <definedName name="_xlnm.Print_Area" localSheetId="3">'Итоги по ГРБС без коэф. '!$A$1:$D$19</definedName>
    <definedName name="_xlnm.Print_Area" localSheetId="4">'коррект. коээф.'!$A$1:$G$19</definedName>
    <definedName name="_xlnm.Print_Area" localSheetId="1">'Рейтинг ГРБС'!$B$1:$E$20</definedName>
  </definedNames>
  <calcPr calcId="125725"/>
</workbook>
</file>

<file path=xl/calcChain.xml><?xml version="1.0" encoding="utf-8"?>
<calcChain xmlns="http://schemas.openxmlformats.org/spreadsheetml/2006/main">
  <c r="C8" i="36"/>
  <c r="F8"/>
  <c r="B19" i="8"/>
  <c r="B18"/>
  <c r="B17"/>
  <c r="B16"/>
  <c r="B15"/>
  <c r="B14"/>
  <c r="B13"/>
  <c r="B12"/>
  <c r="D6" i="21" l="1"/>
  <c r="E17" i="11" l="1"/>
  <c r="E16"/>
  <c r="E12" i="8"/>
  <c r="E8"/>
  <c r="G12" i="36"/>
  <c r="K19" i="18" l="1"/>
  <c r="K18"/>
  <c r="K17"/>
  <c r="K16"/>
  <c r="K15"/>
  <c r="K14"/>
  <c r="K13"/>
  <c r="K12"/>
  <c r="K11"/>
  <c r="K10"/>
  <c r="K9"/>
  <c r="K8"/>
  <c r="K7"/>
  <c r="K6"/>
  <c r="E19" i="15"/>
  <c r="E18"/>
  <c r="E17"/>
  <c r="E16"/>
  <c r="E15"/>
  <c r="E14"/>
  <c r="E13"/>
  <c r="E12"/>
  <c r="E11"/>
  <c r="E10"/>
  <c r="E9"/>
  <c r="E8"/>
  <c r="E7"/>
  <c r="E6"/>
  <c r="E19" i="14"/>
  <c r="E18"/>
  <c r="E17"/>
  <c r="E16"/>
  <c r="E15"/>
  <c r="E14"/>
  <c r="E13"/>
  <c r="E12"/>
  <c r="E11"/>
  <c r="E10"/>
  <c r="E9"/>
  <c r="E8"/>
  <c r="E7"/>
  <c r="E6"/>
  <c r="E19" i="10"/>
  <c r="E18"/>
  <c r="E17"/>
  <c r="E16"/>
  <c r="E15"/>
  <c r="E14"/>
  <c r="E13"/>
  <c r="E12"/>
  <c r="E11"/>
  <c r="E10"/>
  <c r="E9"/>
  <c r="E8"/>
  <c r="E7"/>
  <c r="E6"/>
  <c r="D20" i="9"/>
  <c r="E19"/>
  <c r="E18"/>
  <c r="E17"/>
  <c r="E16"/>
  <c r="E15"/>
  <c r="E14"/>
  <c r="E13"/>
  <c r="E12"/>
  <c r="E11"/>
  <c r="E10"/>
  <c r="E9"/>
  <c r="E8"/>
  <c r="E7"/>
  <c r="E6"/>
  <c r="E19" i="40"/>
  <c r="E17"/>
  <c r="E13"/>
  <c r="E11"/>
  <c r="D25" i="1"/>
  <c r="C22" i="5"/>
  <c r="E15" i="11"/>
  <c r="B19" i="21"/>
  <c r="B18"/>
  <c r="B17"/>
  <c r="B16"/>
  <c r="B15"/>
  <c r="B14"/>
  <c r="B13"/>
  <c r="B12"/>
  <c r="B11"/>
  <c r="B10"/>
  <c r="B8"/>
  <c r="B7"/>
  <c r="B6"/>
  <c r="B19" i="40"/>
  <c r="B18"/>
  <c r="B17"/>
  <c r="B16"/>
  <c r="B15"/>
  <c r="B14"/>
  <c r="B13"/>
  <c r="B12"/>
  <c r="B11"/>
  <c r="B10"/>
  <c r="B8"/>
  <c r="B7"/>
  <c r="B6"/>
  <c r="B19" i="20"/>
  <c r="B18"/>
  <c r="B17"/>
  <c r="B16"/>
  <c r="B15"/>
  <c r="B14"/>
  <c r="B13"/>
  <c r="B12"/>
  <c r="B11"/>
  <c r="B10"/>
  <c r="B8"/>
  <c r="B7"/>
  <c r="B6"/>
  <c r="B19" i="19"/>
  <c r="B18"/>
  <c r="B17"/>
  <c r="B16"/>
  <c r="B15"/>
  <c r="B14"/>
  <c r="B13"/>
  <c r="B12"/>
  <c r="B11"/>
  <c r="B10"/>
  <c r="B8"/>
  <c r="B7"/>
  <c r="B6"/>
  <c r="B19" i="18"/>
  <c r="B18"/>
  <c r="B17"/>
  <c r="B16"/>
  <c r="B15"/>
  <c r="B14"/>
  <c r="B13"/>
  <c r="B12"/>
  <c r="B11"/>
  <c r="B10"/>
  <c r="B8"/>
  <c r="B7"/>
  <c r="B6"/>
  <c r="B19" i="17"/>
  <c r="B18"/>
  <c r="B17"/>
  <c r="B16"/>
  <c r="B15"/>
  <c r="B14"/>
  <c r="B13"/>
  <c r="B12"/>
  <c r="B11"/>
  <c r="B10"/>
  <c r="B8"/>
  <c r="B7"/>
  <c r="B6"/>
  <c r="B19" i="16"/>
  <c r="B18"/>
  <c r="B17"/>
  <c r="B16"/>
  <c r="B15"/>
  <c r="B14"/>
  <c r="B13"/>
  <c r="B12"/>
  <c r="B11"/>
  <c r="B10"/>
  <c r="B8"/>
  <c r="B7"/>
  <c r="B6"/>
  <c r="B19" i="15"/>
  <c r="B18"/>
  <c r="B17"/>
  <c r="B16"/>
  <c r="B15"/>
  <c r="B14"/>
  <c r="B13"/>
  <c r="B12"/>
  <c r="B11"/>
  <c r="B10"/>
  <c r="B8"/>
  <c r="B7"/>
  <c r="B6"/>
  <c r="B19" i="14"/>
  <c r="B18"/>
  <c r="B17"/>
  <c r="B16"/>
  <c r="B15"/>
  <c r="B14"/>
  <c r="B13"/>
  <c r="B12"/>
  <c r="B11"/>
  <c r="B10"/>
  <c r="B8"/>
  <c r="B7"/>
  <c r="B6"/>
  <c r="B19" i="39"/>
  <c r="B18"/>
  <c r="B17"/>
  <c r="B16"/>
  <c r="B15"/>
  <c r="B14"/>
  <c r="B13"/>
  <c r="B12"/>
  <c r="B11"/>
  <c r="B10"/>
  <c r="B8"/>
  <c r="B7"/>
  <c r="B6"/>
  <c r="B19" i="38"/>
  <c r="B18"/>
  <c r="B17"/>
  <c r="B16"/>
  <c r="B15"/>
  <c r="B14"/>
  <c r="B13"/>
  <c r="B12"/>
  <c r="B11"/>
  <c r="B10"/>
  <c r="B8"/>
  <c r="B7"/>
  <c r="B6"/>
  <c r="B19" i="13"/>
  <c r="B18"/>
  <c r="B17"/>
  <c r="B16"/>
  <c r="B15"/>
  <c r="B14"/>
  <c r="B13"/>
  <c r="B12"/>
  <c r="B11"/>
  <c r="B10"/>
  <c r="B8"/>
  <c r="B7"/>
  <c r="B6"/>
  <c r="B11" i="11"/>
  <c r="B10"/>
  <c r="B8"/>
  <c r="B7"/>
  <c r="B6"/>
  <c r="D22" i="7"/>
  <c r="D22" i="6"/>
  <c r="D22" i="5"/>
  <c r="C22" i="37"/>
  <c r="B19" i="10"/>
  <c r="B18"/>
  <c r="B17"/>
  <c r="B16"/>
  <c r="B15"/>
  <c r="B14"/>
  <c r="B13"/>
  <c r="B12"/>
  <c r="B11"/>
  <c r="B10"/>
  <c r="B8"/>
  <c r="B7"/>
  <c r="B6"/>
  <c r="B19" i="9"/>
  <c r="B18"/>
  <c r="B17"/>
  <c r="B16"/>
  <c r="B15"/>
  <c r="B14"/>
  <c r="B13"/>
  <c r="B12"/>
  <c r="B11"/>
  <c r="B10"/>
  <c r="B8"/>
  <c r="B7"/>
  <c r="B6"/>
  <c r="B11" i="8"/>
  <c r="B10"/>
  <c r="B8"/>
  <c r="B7"/>
  <c r="B6"/>
  <c r="B19" i="7"/>
  <c r="B18"/>
  <c r="B17"/>
  <c r="B16"/>
  <c r="B15"/>
  <c r="B14"/>
  <c r="B13"/>
  <c r="B12"/>
  <c r="B11"/>
  <c r="B10"/>
  <c r="B8"/>
  <c r="B7"/>
  <c r="B6"/>
  <c r="B19" i="6"/>
  <c r="B18"/>
  <c r="B17"/>
  <c r="B16"/>
  <c r="B15"/>
  <c r="B14"/>
  <c r="B13"/>
  <c r="B12"/>
  <c r="B11"/>
  <c r="B10"/>
  <c r="B8"/>
  <c r="B7"/>
  <c r="B6"/>
  <c r="B19" i="5"/>
  <c r="B18"/>
  <c r="B17"/>
  <c r="B16"/>
  <c r="B15"/>
  <c r="B14"/>
  <c r="B13"/>
  <c r="B12"/>
  <c r="B11"/>
  <c r="B10"/>
  <c r="B8"/>
  <c r="B7"/>
  <c r="B6"/>
  <c r="D22" i="37"/>
  <c r="C22" i="4"/>
  <c r="D22"/>
  <c r="D22" i="36"/>
  <c r="D20" i="7" l="1"/>
  <c r="D23" s="1"/>
  <c r="F22" i="36"/>
  <c r="J26" i="1" l="1"/>
  <c r="J23"/>
  <c r="BP37" i="33"/>
  <c r="BO37"/>
  <c r="BJ37"/>
  <c r="BF37"/>
  <c r="BE37"/>
  <c r="AZ37"/>
  <c r="AU37"/>
  <c r="AP37"/>
  <c r="AF37"/>
  <c r="AL37"/>
  <c r="AK37"/>
  <c r="AB37"/>
  <c r="AA37"/>
  <c r="W37"/>
  <c r="V37"/>
  <c r="Q37"/>
  <c r="L37"/>
  <c r="G37"/>
  <c r="B37"/>
  <c r="C23" i="1" l="1"/>
  <c r="D30" i="33" l="1"/>
  <c r="E30" s="1"/>
  <c r="BK35" l="1"/>
  <c r="BK27"/>
  <c r="BK23"/>
  <c r="BK21"/>
  <c r="BK18"/>
  <c r="BK11"/>
  <c r="BK8"/>
  <c r="BK37" s="1"/>
  <c r="BA35"/>
  <c r="BA27"/>
  <c r="BA23"/>
  <c r="BA21"/>
  <c r="BA18"/>
  <c r="BA11"/>
  <c r="BA8"/>
  <c r="AV35"/>
  <c r="AV27"/>
  <c r="AV23"/>
  <c r="AV21"/>
  <c r="AV18"/>
  <c r="AV11"/>
  <c r="AV8"/>
  <c r="AV37" s="1"/>
  <c r="AQ35"/>
  <c r="AQ27"/>
  <c r="AQ23"/>
  <c r="AQ21"/>
  <c r="AQ18"/>
  <c r="AQ11"/>
  <c r="AQ8"/>
  <c r="AG35"/>
  <c r="AG27"/>
  <c r="AG23"/>
  <c r="AG21"/>
  <c r="AG18"/>
  <c r="AG11"/>
  <c r="AG8"/>
  <c r="AG37" s="1"/>
  <c r="R35"/>
  <c r="R27"/>
  <c r="R23"/>
  <c r="R21"/>
  <c r="R18"/>
  <c r="R11"/>
  <c r="R8"/>
  <c r="M35"/>
  <c r="M27"/>
  <c r="M23"/>
  <c r="M21"/>
  <c r="M18"/>
  <c r="M11"/>
  <c r="M8"/>
  <c r="M37" s="1"/>
  <c r="H35"/>
  <c r="H27"/>
  <c r="H23"/>
  <c r="H21"/>
  <c r="H18"/>
  <c r="H11"/>
  <c r="H8"/>
  <c r="C35"/>
  <c r="C27"/>
  <c r="C23"/>
  <c r="C21"/>
  <c r="C18"/>
  <c r="C11"/>
  <c r="C8"/>
  <c r="C37" s="1"/>
  <c r="R37" l="1"/>
  <c r="AQ37"/>
  <c r="BA37"/>
  <c r="H37"/>
  <c r="BG32"/>
  <c r="BH32" s="1"/>
  <c r="BG33"/>
  <c r="BH33" s="1"/>
  <c r="BG34"/>
  <c r="BH34" s="1"/>
  <c r="BQ34" l="1"/>
  <c r="BQ33"/>
  <c r="AM34"/>
  <c r="AM33"/>
  <c r="AC34"/>
  <c r="AC33"/>
  <c r="X34"/>
  <c r="X33"/>
  <c r="BQ32"/>
  <c r="AM32"/>
  <c r="AC32"/>
  <c r="X32"/>
  <c r="BQ26"/>
  <c r="BL26"/>
  <c r="BG26"/>
  <c r="BB26"/>
  <c r="AW26"/>
  <c r="AR26"/>
  <c r="AM26"/>
  <c r="AH26"/>
  <c r="AC26"/>
  <c r="X26"/>
  <c r="S26"/>
  <c r="N26"/>
  <c r="I26"/>
  <c r="D26"/>
  <c r="BQ25"/>
  <c r="BL25"/>
  <c r="BG25"/>
  <c r="BB25"/>
  <c r="AW25"/>
  <c r="AR25"/>
  <c r="AM25"/>
  <c r="AH25"/>
  <c r="AC25"/>
  <c r="X25"/>
  <c r="S25"/>
  <c r="N25"/>
  <c r="I25"/>
  <c r="D25"/>
  <c r="J20" i="18" l="1"/>
  <c r="I20"/>
  <c r="H20"/>
  <c r="G20"/>
  <c r="F20"/>
  <c r="E20"/>
  <c r="D20"/>
  <c r="C20"/>
  <c r="D20" i="15"/>
  <c r="C20"/>
  <c r="D20" i="14"/>
  <c r="C20"/>
  <c r="D20" i="10"/>
  <c r="C20"/>
  <c r="G8" i="9"/>
  <c r="C20"/>
  <c r="C20" i="7"/>
  <c r="E19"/>
  <c r="E18"/>
  <c r="E17"/>
  <c r="E16"/>
  <c r="E15"/>
  <c r="E14"/>
  <c r="E13"/>
  <c r="E12"/>
  <c r="E11"/>
  <c r="E10"/>
  <c r="E9"/>
  <c r="E8"/>
  <c r="E7"/>
  <c r="E6"/>
  <c r="D20" i="6"/>
  <c r="D23" s="1"/>
  <c r="C20"/>
  <c r="E19"/>
  <c r="E18"/>
  <c r="E17"/>
  <c r="E16"/>
  <c r="E15"/>
  <c r="E14"/>
  <c r="E13"/>
  <c r="E12"/>
  <c r="E11"/>
  <c r="E10"/>
  <c r="E9"/>
  <c r="E8"/>
  <c r="E7"/>
  <c r="E6"/>
  <c r="E7" i="11" l="1"/>
  <c r="E6" i="29"/>
  <c r="E6" i="34"/>
  <c r="F6" i="5" l="1"/>
  <c r="D20"/>
  <c r="D23" s="1"/>
  <c r="C20" l="1"/>
  <c r="C23" s="1"/>
  <c r="BQ13" i="33" l="1"/>
  <c r="BL13"/>
  <c r="BG13"/>
  <c r="BB13"/>
  <c r="AW13"/>
  <c r="AR13"/>
  <c r="AM13"/>
  <c r="AH13"/>
  <c r="AC13"/>
  <c r="X13"/>
  <c r="S13"/>
  <c r="N13"/>
  <c r="I13"/>
  <c r="D13"/>
  <c r="E6" i="37"/>
  <c r="D20"/>
  <c r="D23" s="1"/>
  <c r="C20"/>
  <c r="C23" s="1"/>
  <c r="D12" i="33"/>
  <c r="E6" i="4"/>
  <c r="BQ10" i="33" l="1"/>
  <c r="BL10"/>
  <c r="BG10"/>
  <c r="BB10"/>
  <c r="AW10"/>
  <c r="AR10"/>
  <c r="AM10"/>
  <c r="AH10"/>
  <c r="AC10"/>
  <c r="N10"/>
  <c r="I9"/>
  <c r="X10"/>
  <c r="S10"/>
  <c r="I10"/>
  <c r="D10"/>
  <c r="E10" s="1"/>
  <c r="F6" i="36"/>
  <c r="D20"/>
  <c r="D23" s="1"/>
  <c r="G6" l="1"/>
  <c r="D9" i="33" l="1"/>
  <c r="E9" s="1"/>
  <c r="E8" s="1"/>
  <c r="F8" s="1"/>
  <c r="E17" i="1"/>
  <c r="E10"/>
  <c r="E11"/>
  <c r="E12"/>
  <c r="E13"/>
  <c r="E14"/>
  <c r="E15"/>
  <c r="E16"/>
  <c r="E18"/>
  <c r="E19"/>
  <c r="E20"/>
  <c r="E21"/>
  <c r="E22"/>
  <c r="E9"/>
  <c r="D23"/>
  <c r="BQ36" i="33" l="1"/>
  <c r="BR36" s="1"/>
  <c r="BR35" s="1"/>
  <c r="BS35" s="1"/>
  <c r="BR34"/>
  <c r="BR33"/>
  <c r="BR32"/>
  <c r="BQ30"/>
  <c r="BR30" s="1"/>
  <c r="BQ29"/>
  <c r="BR29" s="1"/>
  <c r="BQ28"/>
  <c r="BR28" s="1"/>
  <c r="BR26"/>
  <c r="BR25"/>
  <c r="BQ24"/>
  <c r="BR24" s="1"/>
  <c r="BQ22"/>
  <c r="BR22" s="1"/>
  <c r="BR21" s="1"/>
  <c r="BS21" s="1"/>
  <c r="BQ20"/>
  <c r="BR20" s="1"/>
  <c r="BQ19"/>
  <c r="BR19" s="1"/>
  <c r="BQ17"/>
  <c r="BR17" s="1"/>
  <c r="BQ16"/>
  <c r="BR16" s="1"/>
  <c r="BQ15"/>
  <c r="BR15" s="1"/>
  <c r="BQ14"/>
  <c r="BR14" s="1"/>
  <c r="BR13"/>
  <c r="BQ12"/>
  <c r="BR12" s="1"/>
  <c r="BR10"/>
  <c r="BQ9"/>
  <c r="BR9" s="1"/>
  <c r="BL36"/>
  <c r="BM36" s="1"/>
  <c r="BM35" s="1"/>
  <c r="BN35" s="1"/>
  <c r="BL30"/>
  <c r="BM30" s="1"/>
  <c r="BM26"/>
  <c r="BM25"/>
  <c r="BL24"/>
  <c r="BM24" s="1"/>
  <c r="BL22"/>
  <c r="BM22" s="1"/>
  <c r="BM21" s="1"/>
  <c r="BN21" s="1"/>
  <c r="BL20"/>
  <c r="BM20" s="1"/>
  <c r="BL19"/>
  <c r="BM19" s="1"/>
  <c r="BL17"/>
  <c r="BM17" s="1"/>
  <c r="BL16"/>
  <c r="BM16" s="1"/>
  <c r="BL15"/>
  <c r="BM15" s="1"/>
  <c r="BL14"/>
  <c r="BM14" s="1"/>
  <c r="BM13"/>
  <c r="BL12"/>
  <c r="BM12" s="1"/>
  <c r="BM10"/>
  <c r="BL9"/>
  <c r="BM9" s="1"/>
  <c r="BG36"/>
  <c r="BH36" s="1"/>
  <c r="BH35" s="1"/>
  <c r="BI35" s="1"/>
  <c r="BH31"/>
  <c r="BI31" s="1"/>
  <c r="BG30"/>
  <c r="BH30" s="1"/>
  <c r="BG29"/>
  <c r="BH29" s="1"/>
  <c r="BG28"/>
  <c r="BH28" s="1"/>
  <c r="BH26"/>
  <c r="BH25"/>
  <c r="BG24"/>
  <c r="BH24" s="1"/>
  <c r="BG22"/>
  <c r="BH22" s="1"/>
  <c r="BH21" s="1"/>
  <c r="BI21" s="1"/>
  <c r="BG20"/>
  <c r="BH20" s="1"/>
  <c r="BG19"/>
  <c r="BH19" s="1"/>
  <c r="BG17"/>
  <c r="BH17" s="1"/>
  <c r="BG16"/>
  <c r="BH16" s="1"/>
  <c r="BG15"/>
  <c r="BH15" s="1"/>
  <c r="BG14"/>
  <c r="BH14" s="1"/>
  <c r="BH13"/>
  <c r="BG12"/>
  <c r="BH12" s="1"/>
  <c r="BH10"/>
  <c r="BG9"/>
  <c r="BH9" s="1"/>
  <c r="BB36"/>
  <c r="BC36" s="1"/>
  <c r="BC35" s="1"/>
  <c r="BD35" s="1"/>
  <c r="BC31"/>
  <c r="BD31" s="1"/>
  <c r="BB30"/>
  <c r="BC30" s="1"/>
  <c r="BC26"/>
  <c r="BC25"/>
  <c r="BB24"/>
  <c r="BC24" s="1"/>
  <c r="BB22"/>
  <c r="BC22" s="1"/>
  <c r="BC21" s="1"/>
  <c r="BD21" s="1"/>
  <c r="BB20"/>
  <c r="BC20" s="1"/>
  <c r="BB19"/>
  <c r="BC19" s="1"/>
  <c r="BB17"/>
  <c r="BC17" s="1"/>
  <c r="BB16"/>
  <c r="BC16" s="1"/>
  <c r="BB15"/>
  <c r="BC15" s="1"/>
  <c r="BB14"/>
  <c r="BC14" s="1"/>
  <c r="BC13"/>
  <c r="BB12"/>
  <c r="BC12" s="1"/>
  <c r="BC10"/>
  <c r="BB9"/>
  <c r="BC9" s="1"/>
  <c r="AW36"/>
  <c r="AX36" s="1"/>
  <c r="AX35" s="1"/>
  <c r="AY35" s="1"/>
  <c r="AW30"/>
  <c r="AX30" s="1"/>
  <c r="AX26"/>
  <c r="AX25"/>
  <c r="AW24"/>
  <c r="AX24" s="1"/>
  <c r="AW22"/>
  <c r="AX22" s="1"/>
  <c r="AX21" s="1"/>
  <c r="AY21" s="1"/>
  <c r="AW20"/>
  <c r="AX20" s="1"/>
  <c r="AW19"/>
  <c r="AX19" s="1"/>
  <c r="AW17"/>
  <c r="AX17" s="1"/>
  <c r="AW16"/>
  <c r="AX16" s="1"/>
  <c r="AW15"/>
  <c r="AX15" s="1"/>
  <c r="AW14"/>
  <c r="AX14" s="1"/>
  <c r="AX13"/>
  <c r="AW12"/>
  <c r="AX12" s="1"/>
  <c r="AX10"/>
  <c r="AW9"/>
  <c r="AX9" s="1"/>
  <c r="AR36"/>
  <c r="AS36" s="1"/>
  <c r="AS35" s="1"/>
  <c r="AT35" s="1"/>
  <c r="AR30"/>
  <c r="AS30" s="1"/>
  <c r="AS26"/>
  <c r="AS25"/>
  <c r="AR24"/>
  <c r="AS24" s="1"/>
  <c r="AR22"/>
  <c r="AS22" s="1"/>
  <c r="AS21" s="1"/>
  <c r="AT21" s="1"/>
  <c r="AR20"/>
  <c r="AS20" s="1"/>
  <c r="AR19"/>
  <c r="AS19" s="1"/>
  <c r="AR17"/>
  <c r="AS17" s="1"/>
  <c r="AR16"/>
  <c r="AS16" s="1"/>
  <c r="AR15"/>
  <c r="AS15" s="1"/>
  <c r="AR14"/>
  <c r="AS14" s="1"/>
  <c r="AS13"/>
  <c r="AR12"/>
  <c r="AS12" s="1"/>
  <c r="AS10"/>
  <c r="AR9"/>
  <c r="AS9" s="1"/>
  <c r="AM36"/>
  <c r="AN36" s="1"/>
  <c r="AN35" s="1"/>
  <c r="AO35" s="1"/>
  <c r="AN34"/>
  <c r="AN33"/>
  <c r="AN32"/>
  <c r="AM30"/>
  <c r="AN30" s="1"/>
  <c r="AM29"/>
  <c r="AN29" s="1"/>
  <c r="AM28"/>
  <c r="AN28" s="1"/>
  <c r="AN26"/>
  <c r="AN25"/>
  <c r="AM24"/>
  <c r="AN24" s="1"/>
  <c r="AM22"/>
  <c r="AN22" s="1"/>
  <c r="AN21" s="1"/>
  <c r="AO21" s="1"/>
  <c r="AM20"/>
  <c r="AN20" s="1"/>
  <c r="AM17"/>
  <c r="AN17" s="1"/>
  <c r="AM16"/>
  <c r="AN16" s="1"/>
  <c r="AM15"/>
  <c r="AN15" s="1"/>
  <c r="AM14"/>
  <c r="AN14" s="1"/>
  <c r="AN13"/>
  <c r="AM12"/>
  <c r="AN12" s="1"/>
  <c r="AN10"/>
  <c r="AM9"/>
  <c r="AN9" s="1"/>
  <c r="AH36"/>
  <c r="AI36" s="1"/>
  <c r="AI35" s="1"/>
  <c r="AJ35" s="1"/>
  <c r="AI31"/>
  <c r="AJ31" s="1"/>
  <c r="AH30"/>
  <c r="AI30" s="1"/>
  <c r="AI26"/>
  <c r="AI25"/>
  <c r="AH24"/>
  <c r="AI24" s="1"/>
  <c r="AH22"/>
  <c r="AI22" s="1"/>
  <c r="AI21" s="1"/>
  <c r="AJ21" s="1"/>
  <c r="AH20"/>
  <c r="AI20" s="1"/>
  <c r="AH19"/>
  <c r="AI19" s="1"/>
  <c r="AH17"/>
  <c r="AI17" s="1"/>
  <c r="AH16"/>
  <c r="AI16" s="1"/>
  <c r="AH15"/>
  <c r="AI15" s="1"/>
  <c r="AH14"/>
  <c r="AI14" s="1"/>
  <c r="AI13"/>
  <c r="AH12"/>
  <c r="AI12" s="1"/>
  <c r="AI10"/>
  <c r="AH9"/>
  <c r="AI9" s="1"/>
  <c r="AC36"/>
  <c r="AD36" s="1"/>
  <c r="AD35" s="1"/>
  <c r="AE35" s="1"/>
  <c r="AD34"/>
  <c r="AD33"/>
  <c r="AD32"/>
  <c r="AC30"/>
  <c r="AD30" s="1"/>
  <c r="AC29"/>
  <c r="AD29" s="1"/>
  <c r="AC28"/>
  <c r="AD28" s="1"/>
  <c r="AD26"/>
  <c r="AD25"/>
  <c r="AC24"/>
  <c r="AD24" s="1"/>
  <c r="AC22"/>
  <c r="AD22" s="1"/>
  <c r="AD21" s="1"/>
  <c r="AE21" s="1"/>
  <c r="AC20"/>
  <c r="AD20" s="1"/>
  <c r="AC19"/>
  <c r="AD19" s="1"/>
  <c r="AC17"/>
  <c r="AD17" s="1"/>
  <c r="AC16"/>
  <c r="AD16" s="1"/>
  <c r="AC15"/>
  <c r="AD15" s="1"/>
  <c r="AC14"/>
  <c r="AD14" s="1"/>
  <c r="AD13"/>
  <c r="AC12"/>
  <c r="AD12" s="1"/>
  <c r="AD10"/>
  <c r="AC9"/>
  <c r="AD9" s="1"/>
  <c r="X36"/>
  <c r="Y36" s="1"/>
  <c r="Y35" s="1"/>
  <c r="Z35" s="1"/>
  <c r="Y34"/>
  <c r="Y33"/>
  <c r="Y32"/>
  <c r="X30"/>
  <c r="Y30" s="1"/>
  <c r="X29"/>
  <c r="Y29" s="1"/>
  <c r="X28"/>
  <c r="Y28" s="1"/>
  <c r="Y26"/>
  <c r="Y25"/>
  <c r="X24"/>
  <c r="Y24" s="1"/>
  <c r="X22"/>
  <c r="Y22" s="1"/>
  <c r="Y21" s="1"/>
  <c r="Z21" s="1"/>
  <c r="X20"/>
  <c r="Y20" s="1"/>
  <c r="X19"/>
  <c r="Y19" s="1"/>
  <c r="X17"/>
  <c r="Y17" s="1"/>
  <c r="X16"/>
  <c r="Y16" s="1"/>
  <c r="X15"/>
  <c r="Y15" s="1"/>
  <c r="X14"/>
  <c r="Y14" s="1"/>
  <c r="Y13"/>
  <c r="X12"/>
  <c r="Y12" s="1"/>
  <c r="Y10"/>
  <c r="X9"/>
  <c r="Y9" s="1"/>
  <c r="S36"/>
  <c r="T36" s="1"/>
  <c r="T35" s="1"/>
  <c r="U35" s="1"/>
  <c r="S30"/>
  <c r="T30" s="1"/>
  <c r="T26"/>
  <c r="T25"/>
  <c r="S24"/>
  <c r="T24" s="1"/>
  <c r="S22"/>
  <c r="T22" s="1"/>
  <c r="T21" s="1"/>
  <c r="U21" s="1"/>
  <c r="S20"/>
  <c r="T20" s="1"/>
  <c r="S19"/>
  <c r="T19" s="1"/>
  <c r="S17"/>
  <c r="T17" s="1"/>
  <c r="S16"/>
  <c r="T16" s="1"/>
  <c r="S15"/>
  <c r="T15" s="1"/>
  <c r="S14"/>
  <c r="T14" s="1"/>
  <c r="T13"/>
  <c r="S12"/>
  <c r="T12" s="1"/>
  <c r="T10"/>
  <c r="S9"/>
  <c r="T9" s="1"/>
  <c r="N36"/>
  <c r="O36" s="1"/>
  <c r="O35" s="1"/>
  <c r="P35" s="1"/>
  <c r="N30"/>
  <c r="O30" s="1"/>
  <c r="N29"/>
  <c r="O29" s="1"/>
  <c r="N28"/>
  <c r="O28" s="1"/>
  <c r="O26"/>
  <c r="O25"/>
  <c r="N24"/>
  <c r="O24" s="1"/>
  <c r="N22"/>
  <c r="O22" s="1"/>
  <c r="O21" s="1"/>
  <c r="P21" s="1"/>
  <c r="N20"/>
  <c r="O20" s="1"/>
  <c r="N19"/>
  <c r="O19" s="1"/>
  <c r="N17"/>
  <c r="O17" s="1"/>
  <c r="N16"/>
  <c r="O16" s="1"/>
  <c r="N15"/>
  <c r="O15" s="1"/>
  <c r="N14"/>
  <c r="O14" s="1"/>
  <c r="O13"/>
  <c r="N12"/>
  <c r="O12" s="1"/>
  <c r="O10"/>
  <c r="N9"/>
  <c r="O9" s="1"/>
  <c r="I36"/>
  <c r="J36" s="1"/>
  <c r="J35" s="1"/>
  <c r="K35" s="1"/>
  <c r="I30"/>
  <c r="J30" s="1"/>
  <c r="J26"/>
  <c r="J25"/>
  <c r="I24"/>
  <c r="J24" s="1"/>
  <c r="I22"/>
  <c r="J22" s="1"/>
  <c r="J21" s="1"/>
  <c r="K21" s="1"/>
  <c r="I20"/>
  <c r="J20" s="1"/>
  <c r="I19"/>
  <c r="J19" s="1"/>
  <c r="I17"/>
  <c r="J17" s="1"/>
  <c r="I16"/>
  <c r="J16" s="1"/>
  <c r="I15"/>
  <c r="J15" s="1"/>
  <c r="I14"/>
  <c r="J14" s="1"/>
  <c r="J13"/>
  <c r="I12"/>
  <c r="J12" s="1"/>
  <c r="J10"/>
  <c r="J9"/>
  <c r="E25"/>
  <c r="E26"/>
  <c r="E13"/>
  <c r="E10" i="40"/>
  <c r="AD8" i="33" l="1"/>
  <c r="AE8" s="1"/>
  <c r="AI8"/>
  <c r="AJ8" s="1"/>
  <c r="AS8"/>
  <c r="AT8" s="1"/>
  <c r="BR8"/>
  <c r="BS8" s="1"/>
  <c r="AD31"/>
  <c r="AE31" s="1"/>
  <c r="BR31"/>
  <c r="BS31" s="1"/>
  <c r="AX31"/>
  <c r="AY31" s="1"/>
  <c r="AN31"/>
  <c r="AO31" s="1"/>
  <c r="Y31"/>
  <c r="Z31" s="1"/>
  <c r="T31"/>
  <c r="U31" s="1"/>
  <c r="O31"/>
  <c r="P31" s="1"/>
  <c r="J31"/>
  <c r="K31" s="1"/>
  <c r="BM31"/>
  <c r="BN31" s="1"/>
  <c r="BR23"/>
  <c r="BS23" s="1"/>
  <c r="AI23"/>
  <c r="AJ23" s="1"/>
  <c r="AX23"/>
  <c r="AY23" s="1"/>
  <c r="AS23"/>
  <c r="AT23" s="1"/>
  <c r="AD23"/>
  <c r="AE23" s="1"/>
  <c r="Y23"/>
  <c r="Z23" s="1"/>
  <c r="O23"/>
  <c r="P23" s="1"/>
  <c r="Y18"/>
  <c r="Z18" s="1"/>
  <c r="AI18"/>
  <c r="AJ18" s="1"/>
  <c r="BR18"/>
  <c r="BS18" s="1"/>
  <c r="J23"/>
  <c r="K23" s="1"/>
  <c r="T8"/>
  <c r="U8" s="1"/>
  <c r="Y8"/>
  <c r="Z8" s="1"/>
  <c r="AN23"/>
  <c r="AO23" s="1"/>
  <c r="AS31"/>
  <c r="AT31" s="1"/>
  <c r="BC23"/>
  <c r="BD23" s="1"/>
  <c r="BH23"/>
  <c r="BI23" s="1"/>
  <c r="BM23"/>
  <c r="BN23" s="1"/>
  <c r="BH18"/>
  <c r="BI18" s="1"/>
  <c r="T23"/>
  <c r="U23" s="1"/>
  <c r="BC8"/>
  <c r="BD8" s="1"/>
  <c r="BM8"/>
  <c r="BN8" s="1"/>
  <c r="BH8"/>
  <c r="BI8" s="1"/>
  <c r="AX8"/>
  <c r="AY8" s="1"/>
  <c r="AN8"/>
  <c r="AO8" s="1"/>
  <c r="O8"/>
  <c r="P8" s="1"/>
  <c r="J8"/>
  <c r="K8" s="1"/>
  <c r="BH27"/>
  <c r="BI27" s="1"/>
  <c r="AS27"/>
  <c r="AT27" s="1"/>
  <c r="J27"/>
  <c r="K27" s="1"/>
  <c r="Y27"/>
  <c r="Z27" s="1"/>
  <c r="O27"/>
  <c r="P27" s="1"/>
  <c r="AN27"/>
  <c r="AO27" s="1"/>
  <c r="BR27"/>
  <c r="BS27" s="1"/>
  <c r="T27"/>
  <c r="U27" s="1"/>
  <c r="AD27"/>
  <c r="AE27" s="1"/>
  <c r="AI27"/>
  <c r="AJ27" s="1"/>
  <c r="AX27"/>
  <c r="AY27" s="1"/>
  <c r="BM27"/>
  <c r="BN27" s="1"/>
  <c r="AS18"/>
  <c r="AT18" s="1"/>
  <c r="BC18"/>
  <c r="BD18" s="1"/>
  <c r="AN18"/>
  <c r="AO18" s="1"/>
  <c r="AX18"/>
  <c r="AY18" s="1"/>
  <c r="J18"/>
  <c r="K18" s="1"/>
  <c r="O18"/>
  <c r="P18" s="1"/>
  <c r="T18"/>
  <c r="U18" s="1"/>
  <c r="AD18"/>
  <c r="AE18" s="1"/>
  <c r="BM18"/>
  <c r="BN18" s="1"/>
  <c r="BC11"/>
  <c r="BD11" s="1"/>
  <c r="AI11"/>
  <c r="AJ11" s="1"/>
  <c r="AN11"/>
  <c r="AO11" s="1"/>
  <c r="AX11"/>
  <c r="AY11" s="1"/>
  <c r="Y11"/>
  <c r="Z11" s="1"/>
  <c r="BR11"/>
  <c r="BS11" s="1"/>
  <c r="O11"/>
  <c r="P11" s="1"/>
  <c r="AD11"/>
  <c r="AE11" s="1"/>
  <c r="T11"/>
  <c r="U11" s="1"/>
  <c r="BH11"/>
  <c r="BI11" s="1"/>
  <c r="BM11"/>
  <c r="BN11" s="1"/>
  <c r="BC27"/>
  <c r="BD27" s="1"/>
  <c r="AS11"/>
  <c r="AT11" s="1"/>
  <c r="J11"/>
  <c r="K11" s="1"/>
  <c r="E6" i="8"/>
  <c r="E9"/>
  <c r="E10"/>
  <c r="E11"/>
  <c r="E13"/>
  <c r="E14"/>
  <c r="E15"/>
  <c r="E16"/>
  <c r="E17"/>
  <c r="E18"/>
  <c r="E19"/>
  <c r="E19" i="37"/>
  <c r="E18"/>
  <c r="E20"/>
  <c r="E17"/>
  <c r="E16"/>
  <c r="E15"/>
  <c r="E14"/>
  <c r="E13"/>
  <c r="E12"/>
  <c r="E11"/>
  <c r="E10"/>
  <c r="E9"/>
  <c r="E8"/>
  <c r="E7"/>
  <c r="BI37" i="33" l="1"/>
  <c r="AY37"/>
  <c r="BN37"/>
  <c r="BS37"/>
  <c r="AE37"/>
  <c r="Z37"/>
  <c r="AJ37"/>
  <c r="K37"/>
  <c r="AT37"/>
  <c r="D9" i="42" s="1"/>
  <c r="BD37" i="33"/>
  <c r="P37"/>
  <c r="U37"/>
  <c r="AO37"/>
  <c r="E20" i="36"/>
  <c r="E23" s="1"/>
  <c r="C20"/>
  <c r="C23" s="1"/>
  <c r="F18"/>
  <c r="G18" s="1"/>
  <c r="F17"/>
  <c r="G17" s="1"/>
  <c r="F15"/>
  <c r="G15" s="1"/>
  <c r="F14"/>
  <c r="G14" s="1"/>
  <c r="F19"/>
  <c r="G19" s="1"/>
  <c r="F13"/>
  <c r="G13" s="1"/>
  <c r="F16"/>
  <c r="G16" s="1"/>
  <c r="F11"/>
  <c r="G11" s="1"/>
  <c r="F7"/>
  <c r="G7" s="1"/>
  <c r="F10"/>
  <c r="G10" s="1"/>
  <c r="F9"/>
  <c r="G9" s="1"/>
  <c r="F12"/>
  <c r="D13" i="29" l="1"/>
  <c r="D10" i="42"/>
  <c r="D12" i="29"/>
  <c r="D6" i="42"/>
  <c r="D11" i="29"/>
  <c r="D11" i="42"/>
  <c r="D8" i="29"/>
  <c r="D12" i="42"/>
  <c r="D19" i="29"/>
  <c r="D14" i="42"/>
  <c r="D10" i="29"/>
  <c r="D8" i="42"/>
  <c r="D16" i="29"/>
  <c r="D16" i="42"/>
  <c r="D18" i="29"/>
  <c r="D17" i="42"/>
  <c r="D15" i="29"/>
  <c r="D7" i="42"/>
  <c r="D9" i="29"/>
  <c r="D15" i="42"/>
  <c r="D14" i="29"/>
  <c r="D7"/>
  <c r="D18" i="42"/>
  <c r="D17" i="29"/>
  <c r="D19" i="42"/>
  <c r="G8" i="36"/>
  <c r="F20"/>
  <c r="F23" s="1"/>
  <c r="E10" i="29"/>
  <c r="E7"/>
  <c r="E8"/>
  <c r="E9"/>
  <c r="E11"/>
  <c r="E12"/>
  <c r="E13"/>
  <c r="E14"/>
  <c r="E15"/>
  <c r="E16"/>
  <c r="E17"/>
  <c r="E18"/>
  <c r="E19"/>
  <c r="E7" i="34"/>
  <c r="E8"/>
  <c r="E9"/>
  <c r="E10"/>
  <c r="E11"/>
  <c r="E12"/>
  <c r="E13"/>
  <c r="E14"/>
  <c r="E15"/>
  <c r="E16"/>
  <c r="E17"/>
  <c r="E18"/>
  <c r="E19"/>
  <c r="D20"/>
  <c r="C20"/>
  <c r="D20" i="4"/>
  <c r="D23" s="1"/>
  <c r="F13" i="29" l="1"/>
  <c r="E21" i="34"/>
  <c r="E20"/>
  <c r="F6" s="1"/>
  <c r="AF40" i="33"/>
  <c r="AF39"/>
  <c r="E31"/>
  <c r="F31" s="1"/>
  <c r="D36"/>
  <c r="D29"/>
  <c r="E29" s="1"/>
  <c r="D28"/>
  <c r="E28" s="1"/>
  <c r="D24"/>
  <c r="E24" s="1"/>
  <c r="D22"/>
  <c r="E22" s="1"/>
  <c r="D19"/>
  <c r="E19" s="1"/>
  <c r="D17"/>
  <c r="E17" s="1"/>
  <c r="D16"/>
  <c r="E16" s="1"/>
  <c r="D15"/>
  <c r="E15" s="1"/>
  <c r="D14"/>
  <c r="E14" s="1"/>
  <c r="E12"/>
  <c r="E9" i="41" l="1"/>
  <c r="F7" i="34"/>
  <c r="E36" i="33"/>
  <c r="E35" s="1"/>
  <c r="F35" s="1"/>
  <c r="F18" i="34"/>
  <c r="F10"/>
  <c r="F14"/>
  <c r="F12"/>
  <c r="F9"/>
  <c r="F17"/>
  <c r="F16"/>
  <c r="F8"/>
  <c r="F11"/>
  <c r="F19"/>
  <c r="F13"/>
  <c r="F15"/>
  <c r="E27" i="33"/>
  <c r="F27" s="1"/>
  <c r="E23"/>
  <c r="F23" s="1"/>
  <c r="E11"/>
  <c r="F11" s="1"/>
  <c r="E21"/>
  <c r="F21" s="1"/>
  <c r="F20" i="34" l="1"/>
  <c r="G11" i="9" l="1"/>
  <c r="G13"/>
  <c r="G12"/>
  <c r="G15"/>
  <c r="G10"/>
  <c r="G17"/>
  <c r="G14"/>
  <c r="G19"/>
  <c r="G9"/>
  <c r="G7"/>
  <c r="G16"/>
  <c r="G6"/>
  <c r="G18"/>
  <c r="D20" i="8"/>
  <c r="D23" s="1"/>
  <c r="C20"/>
  <c r="C23" s="1"/>
  <c r="F15" i="29" l="1"/>
  <c r="F12"/>
  <c r="F18"/>
  <c r="F14"/>
  <c r="F11"/>
  <c r="F19"/>
  <c r="F8"/>
  <c r="F16"/>
  <c r="F9"/>
  <c r="F17"/>
  <c r="F10"/>
  <c r="G7" i="10"/>
  <c r="G6"/>
  <c r="G18"/>
  <c r="G16"/>
  <c r="G14"/>
  <c r="G12"/>
  <c r="G11"/>
  <c r="G9"/>
  <c r="G19"/>
  <c r="G17"/>
  <c r="G15"/>
  <c r="G13"/>
  <c r="G10"/>
  <c r="G8"/>
  <c r="E18" i="41" l="1"/>
  <c r="E16"/>
  <c r="E11"/>
  <c r="E15"/>
  <c r="E13"/>
  <c r="E14"/>
  <c r="E12"/>
  <c r="E8"/>
  <c r="E7"/>
  <c r="E20"/>
  <c r="E17"/>
  <c r="F7" i="29"/>
  <c r="D20" i="33"/>
  <c r="E20" s="1"/>
  <c r="E19" i="41" l="1"/>
  <c r="E18" i="33"/>
  <c r="F18" s="1"/>
  <c r="F37" s="1"/>
  <c r="D13" i="42" s="1"/>
  <c r="G10" i="21"/>
  <c r="D6" i="29" l="1"/>
  <c r="F6" s="1"/>
  <c r="E7" i="8"/>
  <c r="G7" i="21"/>
  <c r="G8"/>
  <c r="G9"/>
  <c r="G11"/>
  <c r="G12"/>
  <c r="G13"/>
  <c r="G14"/>
  <c r="G15"/>
  <c r="G16"/>
  <c r="G17"/>
  <c r="G18"/>
  <c r="G19"/>
  <c r="G6"/>
  <c r="E10" i="41" l="1"/>
  <c r="D29" i="27"/>
  <c r="F7" i="5"/>
  <c r="F8"/>
  <c r="F9"/>
  <c r="F10"/>
  <c r="F11"/>
  <c r="F12"/>
  <c r="F13"/>
  <c r="F14"/>
  <c r="F15"/>
  <c r="F16"/>
  <c r="F17"/>
  <c r="F18"/>
  <c r="F19"/>
  <c r="E7"/>
  <c r="G7" s="1"/>
  <c r="E8"/>
  <c r="E9"/>
  <c r="G9" s="1"/>
  <c r="E10"/>
  <c r="E11"/>
  <c r="G11" s="1"/>
  <c r="E12"/>
  <c r="E13"/>
  <c r="E14"/>
  <c r="E15"/>
  <c r="G15" s="1"/>
  <c r="E16"/>
  <c r="E17"/>
  <c r="G17" s="1"/>
  <c r="E18"/>
  <c r="E19"/>
  <c r="E6"/>
  <c r="G6" s="1"/>
  <c r="G19" l="1"/>
  <c r="G12"/>
  <c r="E20"/>
  <c r="F20"/>
  <c r="G18"/>
  <c r="G16"/>
  <c r="G14"/>
  <c r="G13"/>
  <c r="G10"/>
  <c r="G8"/>
  <c r="E7" i="4"/>
  <c r="E9"/>
  <c r="E11"/>
  <c r="E12"/>
  <c r="E13"/>
  <c r="E14"/>
  <c r="E15"/>
  <c r="E16"/>
  <c r="E19"/>
  <c r="E18"/>
  <c r="E17"/>
  <c r="E10"/>
  <c r="E8"/>
  <c r="C20" l="1"/>
  <c r="E20" l="1"/>
  <c r="C23"/>
</calcChain>
</file>

<file path=xl/sharedStrings.xml><?xml version="1.0" encoding="utf-8"?>
<sst xmlns="http://schemas.openxmlformats.org/spreadsheetml/2006/main" count="581" uniqueCount="177">
  <si>
    <t>1. Качество планирования бюджета города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</si>
  <si>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</si>
  <si>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</si>
  <si>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</si>
  <si>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</si>
  <si>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Управление труда и социальной поддержки населения по осуществлению отдельных государственных полномочий в городе Ставрополе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</si>
  <si>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</si>
  <si>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</si>
  <si>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</si>
  <si>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</si>
  <si>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</si>
  <si>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Код ГРБС</t>
  </si>
  <si>
    <t>Наименование</t>
  </si>
  <si>
    <t>Сумма положительных изменений бюджетных ассигнований за счет перераспределения бюджетных ассигнований внутри главного распорядителя бюджетных средств (в части перераспределения собственных средств бюджета города) (S)</t>
  </si>
  <si>
    <t>Годовой объем бюджетных ассигнований по главному распорядителю бюджетных средств с учетом внесенных изменений на конец отчетного периода (в части собственных средств бюджета города) (b)</t>
  </si>
  <si>
    <t>Значение показателя (с учетом условий)</t>
  </si>
  <si>
    <t xml:space="preserve">1.1. Доля суммы изменений в бюджетные ассигнования по расходам бюджета города Ставрополя за счет перераспределения бюджетных ассигнований внутри главного распорядителя бюджетных средств. При расчете показателя используются уведомления, утверждение которых приводило к годовым изменениям бюджетных ассигнований по расходам в разрезе кодов классификации операций сектора государственного управления  </t>
  </si>
  <si>
    <t>2. Исполнение бюджета города в части расходов</t>
  </si>
  <si>
    <t>2.1. Объем неисполненных на конец отчетного финансового года бюджетных ассигнований</t>
  </si>
  <si>
    <t>Объем бюджетных ассигнований главного распорядителя бюджетных средств в отчетном финансовом году согласно отчету об исполнении бюджета (b)</t>
  </si>
  <si>
    <t>Кассовое исполнение расходов главного распорядителя бюджетных средств в отчетном финансовом году ( E)</t>
  </si>
  <si>
    <t xml:space="preserve">Кассовые расходы главного распорядителя бюджетных средств 
в IV квартале отчетного финансового года (E)
</t>
  </si>
  <si>
    <t>Cредний объем кассовых расходов главного распорядителя бюджетных средств за I – III кварталы отчетного финансового года (Еср )</t>
  </si>
  <si>
    <t>Объем кредиторской задолженности по расчетам с поставщиками и подрядчиками в отчетном финансовом году по состоянию на 01 января года, следующего за отчетным годом (K)</t>
  </si>
  <si>
    <t>Кассовое исполнение расходов главного распорядителя бюджетных средств в отчетном финансовом году (Е)</t>
  </si>
  <si>
    <t>Процент, P                                                   P = 100 x K / E</t>
  </si>
  <si>
    <t>Объем кредиторской задолженности по расчетам по платежам в бюджеты в отчетном финансовом году по состоянию на 01 января года, следующего за отчетным годом (K)</t>
  </si>
  <si>
    <t xml:space="preserve">
 Кассовые расходы главного распорядителя бюджетных средств на реализацию муниципальных целевых и ведомственных целевых программ города Ставрополя в отчетном финансовом году (Sисп)</t>
  </si>
  <si>
    <t xml:space="preserve">                                                                                                                                                                             Объем бюджетных ассигнований главного распорядителя бюджетных средств в отчетном финансовом году на реализацию муниципальных целевых программ (S)
</t>
  </si>
  <si>
    <t>3. Исполнение бюджета города в части доходов</t>
  </si>
  <si>
    <t xml:space="preserve">3.1. Отклонение кассового исполнения по доходам от прогноза по главному администратору доходов бюджета города 
</t>
  </si>
  <si>
    <t>Кассовое исполнение по доходам по главному администратору доходов бюджета города в отчетном финансовом году (Rf )</t>
  </si>
  <si>
    <t>Прогноз поступлений доходов для главного администратора доходов бюджета города в отчетном финансовом году (Rp)</t>
  </si>
  <si>
    <t xml:space="preserve">
</t>
  </si>
  <si>
    <t xml:space="preserve">Процент, P                        P = 100 x (1 - Rf / Rp), 
если Rf &lt;= Rp; 
P = 100 x (Rf / Rp - 1), 
если Rf &gt; Rp
</t>
  </si>
  <si>
    <t>3.2. Эффективность управления дебиторской задолженностью по расчетам с дебиторами по доходам</t>
  </si>
  <si>
    <t xml:space="preserve"> Объем дебиторской задолженности по расчетам с дебиторами по доходам в отчетном финансовом году по состоянию на 01 января года, следующего за отчетным годом (D)</t>
  </si>
  <si>
    <t>Кассовое исполнение по доходам, закрепленным за администратором доходов бюджета города в отчетном финансовом году (Rf )</t>
  </si>
  <si>
    <t xml:space="preserve">Процент, P           P = 100 х S / b </t>
  </si>
  <si>
    <t xml:space="preserve">Процент, P                        P = 100 x (b - E) / b </t>
  </si>
  <si>
    <t xml:space="preserve">Процент, P                                                   Эмцп=100 х (Sисп / S)
 </t>
  </si>
  <si>
    <t>4. Исполнение судебных актов</t>
  </si>
  <si>
    <t>5. Учет и отчетность</t>
  </si>
  <si>
    <t xml:space="preserve">5.1. Представление в составе годовой бюджетной отчетности сведений о мерах по повышению эффективности расходования бюджетных средств </t>
  </si>
  <si>
    <t xml:space="preserve"> 
Амортизация основных средств главного распорядителя бюджетных средств (А)</t>
  </si>
  <si>
    <t xml:space="preserve">
Основные средства (балансовая стоимость) главного распорядителя бюджетных средств (О)
</t>
  </si>
  <si>
    <t>Процент, P                        Р= 100 х А/О</t>
  </si>
  <si>
    <t>Стоимость материальных запасов главного распорядителя бюджетных средств по состоянию на 01 января отчетного финансового года (J0)</t>
  </si>
  <si>
    <t>6. Контроль и аудит</t>
  </si>
  <si>
    <t>6.1. Осуществление мероприятий финансового контроля</t>
  </si>
  <si>
    <t>6.2. Наличие подразделения финансового контроля, либо уполномоченных должностных лиц</t>
  </si>
  <si>
    <t>Наличие ежеквартального планирования контрольно-ревизионной работы. Выполнение планов контрольно-ревизионной работы (5 баллов)</t>
  </si>
  <si>
    <t>Невыполнение планов контрольно-ревизионной работы (0 баллов)</t>
  </si>
  <si>
    <t>Наличие в годовой бюджетной отчетности за отчетный финансовый год заполненной таблицы «Сведения о мерах по повышению эффективности расходования бюджетных средств» (5 баллов)</t>
  </si>
  <si>
    <t>Отсутствие в годовой бюджетной отчетности за отчетный финансовый год заполненной таблицы «Сведения о мерах по повышению эффективности расходования бюджетных средств» (0 баллов)</t>
  </si>
  <si>
    <t>Наличие подразделения финансового контроля главного распорядителя бюджетных средств либо уполномоченных должностных лиц. Отсутствие методики осуществления финансового контроля главного распорядителя бюджетных средств (3 балла)</t>
  </si>
  <si>
    <t>Отсутствие подразделения финансового контроля либо уполномоченных должностных лиц (0 баллов)</t>
  </si>
  <si>
    <t>6.3. Объем недостач и хищений денежных средств и материальных ценностей</t>
  </si>
  <si>
    <t>Сумма установленных недостач и хищений денежных средств и материальных ценностей у главного распорядителя бюджетных средств в отчетном финансовом году (Т)</t>
  </si>
  <si>
    <t>Основные средства (остаточная стоимость) главного распорядителя бюджетных средств (О)</t>
  </si>
  <si>
    <t xml:space="preserve"> Нематериальные активы (остаточная стоимость) главного распорядителя бюджетных средств (N)</t>
  </si>
  <si>
    <t>Материальные запасы главного распорядителя бюджетных средств (M)</t>
  </si>
  <si>
    <t>Вложения главного распорядителя бюджетных средств в нефинансовые активы (А)</t>
  </si>
  <si>
    <t>Нефинансовые активы главного распорядителя бюджетных средств в  пути (R)</t>
  </si>
  <si>
    <t xml:space="preserve">
 Денежные средства главного распорядителя бюджетных средств (S)</t>
  </si>
  <si>
    <t>Финансовые вложения главного распорядителя бюджетных средств (V)</t>
  </si>
  <si>
    <t>Процент, P                                                  P = 100 х T / (O+N+M+А+R+S+V)</t>
  </si>
  <si>
    <t>7. Подведомственные муниципальные учреждения</t>
  </si>
  <si>
    <t>7.1. Наличие стандартов качества муниципальных услуг, оказываемых муниципальными учреждениями города Ставрополя в качестве основных видов деятельности</t>
  </si>
  <si>
    <t>Невыполнение плана проведения контрольных мероприятий и плана проведения опросов (0 баллов)</t>
  </si>
  <si>
    <t>7.2. Проведение оценки соответствия качества фактически предоставляемых муниципальными учреждениями города Ставрополя муниципальных услуг утвержденным стандартам качества</t>
  </si>
  <si>
    <t>Наличие отчета о результатах оценки качества муниципальных услуг по специальной форме с прилагаемыми актами о проведении контрольного мероприятия и результатах проведения опроса потребителей муниципальной услуги (5 баллов)</t>
  </si>
  <si>
    <t>Отсутствие отчета о результатах оценки качества муниципальных услуг по специальной форме с прилагаемыми актами о проведении контрольного мероприятия и результатах проведения опроса потребителей муниципальной услуги (0 баллов)</t>
  </si>
  <si>
    <t>8. Квалификация финансового (финансово-экономического) подразделения главных распорядителей бюджетных средств</t>
  </si>
  <si>
    <t>Количество сотрудников финансового (финансово-экономического) подразделения главного распорядителя бюджетных средств, обладающих дипломами кандидата, доктора экономических наук (Nканд)</t>
  </si>
  <si>
    <t xml:space="preserve">
Количество сотрудников финансового (финансово-экономического) подразделения главного распорядителя бюджетных средств, обладающих дипломами среднего профессионального образования по экономическим направлениям подготовки (специальностям) (Nс)</t>
  </si>
  <si>
    <t xml:space="preserve">
Общее количество сотрудников финансового (финансово-экономического) подразделения главного распорядителя бюджетных средств по состоянию на 01 января года, следующего за отчетным финансовым годом (N)</t>
  </si>
  <si>
    <t>Процент, P                                                  P = 100 x (Nканд + Nв + Nс ) / N</t>
  </si>
  <si>
    <t>В части исполнения бюджета города Ставрополя (далее – бюджет города) за отчетный финансовый год</t>
  </si>
  <si>
    <t>Показатель 1.1. Доля суммы изменений в бюджетные ассигнования по расходам</t>
  </si>
  <si>
    <t>Показатель 2.1. Объем неисполненных на конец отчетного финансового года бюджетных ассигнований</t>
  </si>
  <si>
    <t xml:space="preserve">Показатель 3.1. Отклонение кассового исполнения по доходам от прогноза по главному администратору доходов бюджета города </t>
  </si>
  <si>
    <t>Показатель 3.2. Эффективность управления дебиторской задолженностью по расчетам с дебиторами по доходам</t>
  </si>
  <si>
    <t xml:space="preserve">Показатель 5.1. Представление в составе годовой бюджетной отчетности сведений о мерах по повышению эффективности расходования бюджетных средств </t>
  </si>
  <si>
    <t>Показатель 6.1. Осуществление мероприятий финансового контроля</t>
  </si>
  <si>
    <t>Показатель 6.2. Наличие подразделения финансового контроля, либо уполномоченных должностных лиц</t>
  </si>
  <si>
    <t>Показатель 6.3. Объем недостач и хищений денежных средств и материальных ценностей</t>
  </si>
  <si>
    <t>Итоговая оценка качества финансового менеджмента</t>
  </si>
  <si>
    <t xml:space="preserve">осуществляемого администрацией города Ставрополя, </t>
  </si>
  <si>
    <t>ее отраслевыми (функциональными) и территориальными органами</t>
  </si>
  <si>
    <t>Наименование группы и главного распорядителя 
средств бюджета города Ставрополя</t>
  </si>
  <si>
    <t>Место</t>
  </si>
  <si>
    <t>ИТОГО</t>
  </si>
  <si>
    <t>Значение группы показателей</t>
  </si>
  <si>
    <t>Пороценты по постановлению</t>
  </si>
  <si>
    <t>Корректировка процентов</t>
  </si>
  <si>
    <t>Оценка показателей</t>
  </si>
  <si>
    <t>Значение показателя в групппе пропорционально весу в группе</t>
  </si>
  <si>
    <t>Доля в общем объеме расходов</t>
  </si>
  <si>
    <t>Корректир. коэффициент</t>
  </si>
  <si>
    <t>корректирующий коэффициент</t>
  </si>
  <si>
    <t>Итоговая оценка качества финансового менеджмента с учетом корректирующего коэффициента</t>
  </si>
  <si>
    <t>Показатель 5.3. Представление в составе годовой бюджетной отчетности сведений о результатах мероприятий внутреннего финансового контроля</t>
  </si>
  <si>
    <t>1.2. Доля бюджетных ассигнований, запланированных на реализацию муниципальных целевых программ</t>
  </si>
  <si>
    <t>в том числе субвенции</t>
  </si>
  <si>
    <t xml:space="preserve"> Годовой объем бюджетных ассигнований по главному распорядителю бюджетных средств с учетом внесенных изменений на конец отчетного периода (без учета субвенций) (b)</t>
  </si>
  <si>
    <t xml:space="preserve"> Годовой объем бюджетных ассигнований по главному распорядителю бюджетных средств с учетом внесенных изменений на конец отчетного периода</t>
  </si>
  <si>
    <t xml:space="preserve">Процент, P                                                   P = 100 х S / b </t>
  </si>
  <si>
    <t>Объем бюджетных ассигнований главного распорядителя бюджетных средств в отчетном финансовом году согласно отчету об исполнении бюджета (без учета субсидий, субвенций и иных межбюджетных трансфертов) (b)</t>
  </si>
  <si>
    <t>Кассовое исполнение расходов главного распорядителя бюджетных средств в отчетном финансовом году (без учета субсидий, субвенций и иных межбюджетных трансфертов) ( E)</t>
  </si>
  <si>
    <t xml:space="preserve">2.2. Объем неисполненных на конец отчетного финансового года бюджетных ассигнований (без учета субсидий, субвенций и иных межбюджетных трансфертов) </t>
  </si>
  <si>
    <t xml:space="preserve">Процент, P                                                   P = (Е – Еср)*100/Еср </t>
  </si>
  <si>
    <t>2.4. Эффективность управления кредиторской задолженностью по расчетам с поставщиками и подрядчиками</t>
  </si>
  <si>
    <t>2.3. Равномерность расходов</t>
  </si>
  <si>
    <t xml:space="preserve">2.5. Эффективность управления кредиторской задолженностью по расчетам по платежам в бюджеты  </t>
  </si>
  <si>
    <t>2.6. Эффективность использования бюджетных средств, выделенных на реализацию муниципальных целевых и ведомственных (отраслевых) муниципальных целевых программ города Ставрополя за отчетный финансовый год</t>
  </si>
  <si>
    <t xml:space="preserve">Процент, P                        P =  = |100 х D / Rf|   </t>
  </si>
  <si>
    <t>4.1. Иски по денежным обязательствам получателей бюджетных средств (в денежном выражении)</t>
  </si>
  <si>
    <t>Общая сумма удовлетворенных исковых  требований в денежном выражении, взысканная судом по судебным решениям, вступившим в законную силу в отчетном финансовом году, по исковым требованиям о взыскании с главного распорядителя бюджетных средств (в том числе в порядке субсидиарной ответственности) по принятым ими как получателями бюджетных средств денежным обязательствам (Su)</t>
  </si>
  <si>
    <t>Общая сумма заявленных исковых  требований в денежном выражении, указанных в судебных решениях, вступивших в законную силу в отчетном финансовом году, по исковым требованиям о взыскании с главного распорядителя бюджетных средств (в том числе в порядке субсидиарной ответственности) по принятым ими как  получателями бюджетных средств денежным обязательствам (Sp)</t>
  </si>
  <si>
    <t xml:space="preserve">Процент, P                        P = 100 x (1 - Su / Sp), 
если Su &lt; Sp; 
P = 0, если Su &gt; Sp
</t>
  </si>
  <si>
    <t>5.2. Представление в составе годовой бюджетной отчетности сведений о проведении инвентаризаций</t>
  </si>
  <si>
    <t>Таблица «Сведения о проведении инвентаризаций» заполнена и соответствует  требованиям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 (5 баллов)</t>
  </si>
  <si>
    <t>Таблица «Сведения о проведении инвентаризаций» не заполнена или не соответствует  требованиям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                    (0 баллов)</t>
  </si>
  <si>
    <t>5.3. Представление в составе годовой бюджетной отчетности сведений о результатах мероприятий внутреннего финансового контроля</t>
  </si>
  <si>
    <t>Таблица «Сведения о результатах мероприятий внутреннего финансового контроля» заполнена и соответствует  характеристикам внутреннего контроля, указанным в комментарии             (5 баллов)</t>
  </si>
  <si>
    <t>Таблица «Сведения о результатах мероприятий внутреннего финансового контроля» не заполнена и не соответствует  характеристикам внутреннего контроля, указанным в комментарии                                   (0 баллов)</t>
  </si>
  <si>
    <t xml:space="preserve">5.4. Отношения накопленной амортизации к основным средствам </t>
  </si>
  <si>
    <t>5.5. Объем материальных запасов</t>
  </si>
  <si>
    <t>Стоимость материальных запасов главного распорядителя бюджетных средств по состоянию на 01 января года, следующего за отчетным финансовым годом (J1)</t>
  </si>
  <si>
    <t xml:space="preserve">Процент, P                        Р = 100 х (J1-J0)/J0, Оценка=5 х (1-Р) </t>
  </si>
  <si>
    <t>Наличие подразделения финансового контроля главного распорядителя бюджетных средств либо уполномоченных должностных лиц. Наличие методики осуществления финансового контроля главного распорядителя бюджетных средств                      (5 баллов)</t>
  </si>
  <si>
    <t>Наличие утвержденного плана проведения контрольных мероприятий и плана проведения опросов               (5 баллов)</t>
  </si>
  <si>
    <t>7.3. Доля муниципальных услуг (работ), оказываемых подведомственными муниципальными учреждениями в качестве основных видов деятельности, относительно которых утверждены нормативные затраты на единицу муниципальной услуги (работы)</t>
  </si>
  <si>
    <t>Количество муниципальных услуг (работ), оказываемых подведомственными муниципальными учреждениями в качестве основных видов деятельности, относительно которых утверждены нормативные затраты на единицу муниципальной услуги (работы) (S)</t>
  </si>
  <si>
    <t>Количество муниципальных услуг (работ), оказываемых подведомственными муниципальными учреждениями в качестве основных видов деятельности (b)</t>
  </si>
  <si>
    <t xml:space="preserve">Процент, P                                                  P = 100 х S / b </t>
  </si>
  <si>
    <t>8.1. Квалификация сотрудников финансового (финансово-экономического) подразделения главного распорядителя бюджетных средств (образование по экономическим направлениям подготовки (специальностям))</t>
  </si>
  <si>
    <t>Показатель 1.2. Доля бюджетных ассигнований, запланированных на реализацию муниципальных целевых программ</t>
  </si>
  <si>
    <t xml:space="preserve">Показатель 2.2. Объем неисполненных на конец отчетного финансового года бюджетных ассигнований (без учета субсидий, субвенций и иных межбюджетных трансфертов) </t>
  </si>
  <si>
    <t>Показатель 2.3. Равномерность расходов</t>
  </si>
  <si>
    <t>Показатель 2.4. Эффективность управления кредиторской задолженностью по расчетам с поставщиками и подрядчиками</t>
  </si>
  <si>
    <t xml:space="preserve">Показатель 2.5. Эффективность управления кредиторской задолженностью по расчетам по платежам в бюджеты </t>
  </si>
  <si>
    <t>Показатель 2.6. Эффективность использования бюджетных средств, выделенных на реализацию муниципальных целевых и ведомственных (отраслевых) муниципальных целевых программ города Ставрополя за отчетный финансовый год</t>
  </si>
  <si>
    <t>Показатель 4.1. Иски по денежным обязательствам получателей бюджетных средств (в денежном выражении)</t>
  </si>
  <si>
    <t>Показатель 5.2. Представление в составе годовой бюджетной отчетности сведений о проведении инвентаризаций</t>
  </si>
  <si>
    <t>Показатель 7.1. Наличие стандартов качества муниципальных услуг, оказываемых муниципальными учреждениями города Ставрополя в качестве основных видов деятельности</t>
  </si>
  <si>
    <t>Показатель 7.2. Проведение оценки соответствия качества фактически предоставляемых муниципальными учреждениями города Ставрополя муниципальных услуг утвержденным стандартам качества</t>
  </si>
  <si>
    <t>Показатель 7.3. Доля муниципальных услуг (работ), оказываемых подведомственными муниципальными учреждениями в качестве основных видов деятельности, относительно которых утверждены нормативные затраты на единицу муниципальной услуги (работы)</t>
  </si>
  <si>
    <t>Показатель 8.1. Квалификация сотрудников финансового (финансово-экономического) подразделения главного распорядителя бюджетных средств (образование по экономическим направлениям подготовки (специальностям))</t>
  </si>
  <si>
    <t>(в рублях)</t>
  </si>
  <si>
    <t>Кассовое исполнение расходов главного распорядителя бюджетных средств в отчетном финансовом году (E)</t>
  </si>
  <si>
    <t>Кассовое исполнение расходов главного распорядителя бюджетных средств по субвенциям в отчетном финансовом году (Eсубв.)</t>
  </si>
  <si>
    <t>Кассовое исполнение расходов главного распорядителя бюджетных средств в отчетном финансовом году (E1) без учета субвенций</t>
  </si>
  <si>
    <t>Коэффициент сложности управления финансами</t>
  </si>
  <si>
    <t>Рейтинг главных распорядителей бюджетных средств по итогам</t>
  </si>
  <si>
    <t>мониторинга качества финансового менеджмента</t>
  </si>
  <si>
    <t>Итоговая оценка качества финансового менеджмента без учета корректирующего коэффициента</t>
  </si>
  <si>
    <t>Отчет о результатах мониторинга качества финансового менеджмента,</t>
  </si>
  <si>
    <t>ее отраслевыми (функциональными) и территориальными органами,</t>
  </si>
  <si>
    <t xml:space="preserve">в разрезе главных распорядителей бюджетных средств </t>
  </si>
  <si>
    <t>с указанием значений итоговых оценок качества финансового менеджмента</t>
  </si>
  <si>
    <t>Место в рейтинге</t>
  </si>
  <si>
    <r>
      <t>Наименование показат</t>
    </r>
    <r>
      <rPr>
        <sz val="10"/>
        <color theme="1"/>
        <rFont val="Times New Roman"/>
        <family val="1"/>
        <charset val="204"/>
      </rPr>
      <t>елей/групп показателй</t>
    </r>
  </si>
  <si>
    <t>+</t>
  </si>
  <si>
    <t>Кассовые расходы главного распорядителя бюджетных средств 
за 2014 год</t>
  </si>
  <si>
    <t>Кассовые расходы главного распорядителя бюджетных средств 
за девять месяцев 2014 года</t>
  </si>
  <si>
    <t>Комитет образования администрации города Ставрополя</t>
  </si>
  <si>
    <t>Комитет культуры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</si>
  <si>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</si>
  <si>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культуры, спорта и молодежной политики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</si>
  <si>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</si>
  <si>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да</t>
  </si>
  <si>
    <t>-</t>
  </si>
  <si>
    <t>Количество сотрудников финансового (финансово-экономического) подразделения главного распорядителя бюджетных средств, обладающих дипломами высшего профессионального образования или свидетельствами о профессиональной переподготовке по экономическим направлениям подготовки (специальностям) (Nв)</t>
  </si>
  <si>
    <t>Годовой объем бюджетных ассигнований по главному распорядителю бюджетных средств с учетом внесенных изменений на конец отчетного периода на реализацию муниципальных целевых программ (без учета субвенций)(S)</t>
  </si>
  <si>
    <t>Комитет по делам ГО и ЧС администрации города Ставрополя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</si>
</sst>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00;[Red]\-000;&quot;&quot;"/>
    <numFmt numFmtId="165" formatCode="#,##0.00;[Red]\-#,##0.00;0.00"/>
    <numFmt numFmtId="166" formatCode="#,##0.00_ ;[Red]\-#,##0.00\ "/>
    <numFmt numFmtId="167" formatCode="000"/>
    <numFmt numFmtId="168" formatCode="#,##0.00;[Red]\-#,##0.00;&quot; &quot;"/>
  </numFmts>
  <fonts count="2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7" fillId="0" borderId="0"/>
    <xf numFmtId="0" fontId="1" fillId="0" borderId="0"/>
    <xf numFmtId="0" fontId="18" fillId="0" borderId="0"/>
    <xf numFmtId="43" fontId="21" fillId="0" borderId="0" applyFont="0" applyFill="0" applyBorder="0" applyAlignment="0" applyProtection="0"/>
    <xf numFmtId="0" fontId="18" fillId="0" borderId="0"/>
  </cellStyleXfs>
  <cellXfs count="132">
    <xf numFmtId="0" fontId="0" fillId="0" borderId="0" xfId="0"/>
    <xf numFmtId="164" fontId="2" fillId="0" borderId="1" xfId="1" applyNumberFormat="1" applyFont="1" applyFill="1" applyBorder="1" applyAlignment="1" applyProtection="1">
      <alignment wrapText="1"/>
      <protection hidden="1"/>
    </xf>
    <xf numFmtId="164" fontId="2" fillId="0" borderId="2" xfId="1" applyNumberFormat="1" applyFont="1" applyFill="1" applyBorder="1" applyAlignment="1" applyProtection="1">
      <alignment wrapText="1"/>
      <protection hidden="1"/>
    </xf>
    <xf numFmtId="164" fontId="2" fillId="0" borderId="3" xfId="1" applyNumberFormat="1" applyFont="1" applyFill="1" applyBorder="1" applyAlignment="1" applyProtection="1">
      <alignment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4" fillId="0" borderId="0" xfId="0" applyFont="1"/>
    <xf numFmtId="0" fontId="6" fillId="0" borderId="0" xfId="0" applyFont="1" applyAlignment="1">
      <alignment horizontal="center"/>
    </xf>
    <xf numFmtId="4" fontId="3" fillId="0" borderId="1" xfId="0" applyNumberFormat="1" applyFont="1" applyBorder="1"/>
    <xf numFmtId="165" fontId="2" fillId="0" borderId="1" xfId="1" applyNumberFormat="1" applyFont="1" applyFill="1" applyBorder="1" applyAlignment="1" applyProtection="1">
      <protection hidden="1"/>
    </xf>
    <xf numFmtId="0" fontId="3" fillId="0" borderId="0" xfId="0" applyFont="1" applyBorder="1" applyAlignment="1">
      <alignment wrapText="1"/>
    </xf>
    <xf numFmtId="0" fontId="3" fillId="0" borderId="0" xfId="0" applyFont="1" applyBorder="1"/>
    <xf numFmtId="0" fontId="3" fillId="2" borderId="1" xfId="0" applyFont="1" applyFill="1" applyBorder="1"/>
    <xf numFmtId="164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0" applyFont="1"/>
    <xf numFmtId="49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right"/>
    </xf>
    <xf numFmtId="0" fontId="3" fillId="0" borderId="1" xfId="0" applyFont="1" applyFill="1" applyBorder="1"/>
    <xf numFmtId="4" fontId="3" fillId="0" borderId="0" xfId="0" applyNumberFormat="1" applyFont="1"/>
    <xf numFmtId="2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4" fontId="3" fillId="0" borderId="1" xfId="0" applyNumberFormat="1" applyFont="1" applyFill="1" applyBorder="1"/>
    <xf numFmtId="0" fontId="3" fillId="0" borderId="0" xfId="0" applyFont="1" applyFill="1"/>
    <xf numFmtId="0" fontId="11" fillId="0" borderId="0" xfId="0" applyFont="1"/>
    <xf numFmtId="10" fontId="3" fillId="0" borderId="0" xfId="0" applyNumberFormat="1" applyFont="1"/>
    <xf numFmtId="10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3" borderId="1" xfId="0" applyFont="1" applyFill="1" applyBorder="1"/>
    <xf numFmtId="10" fontId="11" fillId="3" borderId="1" xfId="0" applyNumberFormat="1" applyFont="1" applyFill="1" applyBorder="1"/>
    <xf numFmtId="10" fontId="14" fillId="0" borderId="8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1" fillId="3" borderId="9" xfId="0" applyFont="1" applyFill="1" applyBorder="1"/>
    <xf numFmtId="10" fontId="3" fillId="0" borderId="8" xfId="0" applyNumberFormat="1" applyFont="1" applyBorder="1"/>
    <xf numFmtId="0" fontId="3" fillId="0" borderId="9" xfId="0" applyFont="1" applyBorder="1"/>
    <xf numFmtId="10" fontId="11" fillId="3" borderId="8" xfId="0" applyNumberFormat="1" applyFont="1" applyFill="1" applyBorder="1"/>
    <xf numFmtId="10" fontId="10" fillId="3" borderId="10" xfId="0" applyNumberFormat="1" applyFont="1" applyFill="1" applyBorder="1"/>
    <xf numFmtId="10" fontId="10" fillId="3" borderId="4" xfId="0" applyNumberFormat="1" applyFont="1" applyFill="1" applyBorder="1"/>
    <xf numFmtId="3" fontId="10" fillId="3" borderId="4" xfId="0" applyNumberFormat="1" applyFont="1" applyFill="1" applyBorder="1"/>
    <xf numFmtId="0" fontId="10" fillId="3" borderId="11" xfId="0" applyFont="1" applyFill="1" applyBorder="1"/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wrapText="1"/>
    </xf>
    <xf numFmtId="0" fontId="11" fillId="3" borderId="16" xfId="0" applyFont="1" applyFill="1" applyBorder="1" applyAlignment="1">
      <alignment wrapText="1"/>
    </xf>
    <xf numFmtId="0" fontId="10" fillId="3" borderId="17" xfId="0" applyFont="1" applyFill="1" applyBorder="1" applyAlignment="1">
      <alignment wrapText="1"/>
    </xf>
    <xf numFmtId="10" fontId="3" fillId="0" borderId="8" xfId="0" applyNumberFormat="1" applyFont="1" applyFill="1" applyBorder="1"/>
    <xf numFmtId="10" fontId="3" fillId="0" borderId="1" xfId="0" applyNumberFormat="1" applyFont="1" applyFill="1" applyBorder="1"/>
    <xf numFmtId="0" fontId="3" fillId="0" borderId="9" xfId="0" applyFont="1" applyFill="1" applyBorder="1"/>
    <xf numFmtId="4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0" xfId="0" applyNumberFormat="1" applyFont="1"/>
    <xf numFmtId="0" fontId="7" fillId="0" borderId="0" xfId="0" applyFont="1" applyFill="1" applyAlignment="1">
      <alignment horizontal="center"/>
    </xf>
    <xf numFmtId="0" fontId="14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Fill="1"/>
    <xf numFmtId="0" fontId="3" fillId="0" borderId="16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right" wrapText="1"/>
    </xf>
    <xf numFmtId="0" fontId="3" fillId="4" borderId="1" xfId="0" applyFont="1" applyFill="1" applyBorder="1"/>
    <xf numFmtId="0" fontId="3" fillId="0" borderId="0" xfId="0" applyFont="1" applyFill="1" applyAlignment="1">
      <alignment horizontal="right"/>
    </xf>
    <xf numFmtId="4" fontId="3" fillId="0" borderId="0" xfId="0" applyNumberFormat="1" applyFont="1" applyAlignment="1">
      <alignment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0" applyNumberFormat="1" applyFont="1"/>
    <xf numFmtId="0" fontId="3" fillId="5" borderId="0" xfId="0" applyFont="1" applyFill="1"/>
    <xf numFmtId="164" fontId="2" fillId="4" borderId="1" xfId="1" applyNumberFormat="1" applyFont="1" applyFill="1" applyBorder="1" applyAlignment="1" applyProtection="1">
      <alignment wrapText="1"/>
      <protection hidden="1"/>
    </xf>
    <xf numFmtId="164" fontId="2" fillId="6" borderId="1" xfId="1" applyNumberFormat="1" applyFont="1" applyFill="1" applyBorder="1" applyAlignment="1" applyProtection="1">
      <alignment wrapText="1"/>
      <protection hidden="1"/>
    </xf>
    <xf numFmtId="0" fontId="3" fillId="4" borderId="9" xfId="0" applyFont="1" applyFill="1" applyBorder="1"/>
    <xf numFmtId="0" fontId="2" fillId="0" borderId="0" xfId="0" applyFont="1" applyAlignment="1">
      <alignment wrapText="1"/>
    </xf>
    <xf numFmtId="0" fontId="2" fillId="0" borderId="16" xfId="0" applyFont="1" applyBorder="1" applyAlignment="1">
      <alignment horizontal="center" vertical="center" wrapText="1"/>
    </xf>
    <xf numFmtId="0" fontId="2" fillId="0" borderId="1" xfId="0" applyFont="1" applyBorder="1"/>
    <xf numFmtId="0" fontId="3" fillId="7" borderId="1" xfId="0" applyFont="1" applyFill="1" applyBorder="1"/>
    <xf numFmtId="164" fontId="2" fillId="7" borderId="1" xfId="1" applyNumberFormat="1" applyFont="1" applyFill="1" applyBorder="1" applyAlignment="1" applyProtection="1">
      <alignment wrapText="1"/>
      <protection hidden="1"/>
    </xf>
    <xf numFmtId="166" fontId="20" fillId="0" borderId="0" xfId="0" applyNumberFormat="1" applyFont="1"/>
    <xf numFmtId="167" fontId="19" fillId="0" borderId="8" xfId="9" applyNumberFormat="1" applyFont="1" applyFill="1" applyBorder="1" applyAlignment="1" applyProtection="1">
      <alignment horizontal="center"/>
      <protection hidden="1"/>
    </xf>
    <xf numFmtId="165" fontId="19" fillId="8" borderId="9" xfId="9" applyNumberFormat="1" applyFont="1" applyFill="1" applyBorder="1" applyAlignment="1" applyProtection="1">
      <protection hidden="1"/>
    </xf>
    <xf numFmtId="165" fontId="19" fillId="8" borderId="7" xfId="9" applyNumberFormat="1" applyFont="1" applyFill="1" applyBorder="1" applyAlignment="1" applyProtection="1">
      <protection hidden="1"/>
    </xf>
    <xf numFmtId="165" fontId="2" fillId="7" borderId="1" xfId="1" applyNumberFormat="1" applyFont="1" applyFill="1" applyBorder="1" applyAlignment="1" applyProtection="1">
      <protection hidden="1"/>
    </xf>
    <xf numFmtId="0" fontId="3" fillId="7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right"/>
    </xf>
    <xf numFmtId="164" fontId="2" fillId="7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9" borderId="2" xfId="1" applyNumberFormat="1" applyFont="1" applyFill="1" applyBorder="1" applyAlignment="1" applyProtection="1">
      <alignment wrapText="1"/>
      <protection hidden="1"/>
    </xf>
    <xf numFmtId="164" fontId="2" fillId="9" borderId="1" xfId="1" applyNumberFormat="1" applyFont="1" applyFill="1" applyBorder="1" applyAlignment="1" applyProtection="1">
      <alignment wrapText="1"/>
      <protection hidden="1"/>
    </xf>
    <xf numFmtId="0" fontId="3" fillId="9" borderId="1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3" fillId="9" borderId="1" xfId="0" applyFont="1" applyFill="1" applyBorder="1"/>
    <xf numFmtId="165" fontId="2" fillId="7" borderId="16" xfId="4" applyNumberFormat="1" applyFont="1" applyFill="1" applyBorder="1" applyAlignment="1" applyProtection="1">
      <protection hidden="1"/>
    </xf>
    <xf numFmtId="0" fontId="4" fillId="7" borderId="0" xfId="0" applyFont="1" applyFill="1"/>
    <xf numFmtId="0" fontId="3" fillId="7" borderId="0" xfId="0" applyFont="1" applyFill="1"/>
    <xf numFmtId="0" fontId="3" fillId="7" borderId="0" xfId="0" applyFont="1" applyFill="1" applyAlignment="1">
      <alignment wrapText="1"/>
    </xf>
    <xf numFmtId="0" fontId="3" fillId="7" borderId="0" xfId="0" applyFont="1" applyFill="1" applyAlignment="1">
      <alignment horizontal="right"/>
    </xf>
    <xf numFmtId="164" fontId="2" fillId="7" borderId="2" xfId="1" applyNumberFormat="1" applyFont="1" applyFill="1" applyBorder="1" applyAlignment="1" applyProtection="1">
      <alignment wrapText="1"/>
      <protection hidden="1"/>
    </xf>
    <xf numFmtId="4" fontId="3" fillId="7" borderId="1" xfId="0" applyNumberFormat="1" applyFont="1" applyFill="1" applyBorder="1"/>
    <xf numFmtId="164" fontId="2" fillId="7" borderId="3" xfId="1" applyNumberFormat="1" applyFont="1" applyFill="1" applyBorder="1" applyAlignment="1" applyProtection="1">
      <alignment wrapText="1"/>
      <protection hidden="1"/>
    </xf>
    <xf numFmtId="4" fontId="3" fillId="7" borderId="0" xfId="0" applyNumberFormat="1" applyFont="1" applyFill="1"/>
    <xf numFmtId="168" fontId="22" fillId="7" borderId="4" xfId="4" applyNumberFormat="1" applyFont="1" applyFill="1" applyBorder="1" applyAlignment="1" applyProtection="1">
      <alignment horizontal="right"/>
      <protection hidden="1"/>
    </xf>
    <xf numFmtId="43" fontId="3" fillId="7" borderId="0" xfId="10" applyFont="1" applyFill="1"/>
    <xf numFmtId="43" fontId="14" fillId="7" borderId="0" xfId="10" applyFont="1" applyFill="1"/>
    <xf numFmtId="43" fontId="3" fillId="7" borderId="0" xfId="0" applyNumberFormat="1" applyFont="1" applyFill="1"/>
    <xf numFmtId="4" fontId="2" fillId="7" borderId="1" xfId="0" applyNumberFormat="1" applyFont="1" applyFill="1" applyBorder="1" applyAlignment="1">
      <alignment horizontal="right" wrapText="1"/>
    </xf>
    <xf numFmtId="0" fontId="3" fillId="7" borderId="0" xfId="0" applyFont="1" applyFill="1" applyBorder="1" applyAlignment="1">
      <alignment wrapText="1"/>
    </xf>
    <xf numFmtId="0" fontId="3" fillId="7" borderId="0" xfId="0" applyFont="1" applyFill="1" applyBorder="1"/>
    <xf numFmtId="4" fontId="2" fillId="7" borderId="18" xfId="0" applyNumberFormat="1" applyFont="1" applyFill="1" applyBorder="1" applyAlignment="1">
      <alignment horizontal="right" wrapText="1"/>
    </xf>
    <xf numFmtId="165" fontId="2" fillId="7" borderId="1" xfId="7" applyNumberFormat="1" applyFont="1" applyFill="1" applyBorder="1" applyAlignment="1" applyProtection="1">
      <protection hidden="1"/>
    </xf>
    <xf numFmtId="165" fontId="3" fillId="7" borderId="1" xfId="0" applyNumberFormat="1" applyFont="1" applyFill="1" applyBorder="1"/>
    <xf numFmtId="4" fontId="3" fillId="7" borderId="0" xfId="10" applyNumberFormat="1" applyFont="1" applyFill="1"/>
    <xf numFmtId="2" fontId="3" fillId="7" borderId="1" xfId="0" applyNumberFormat="1" applyFont="1" applyFill="1" applyBorder="1"/>
    <xf numFmtId="165" fontId="2" fillId="7" borderId="1" xfId="3" applyNumberFormat="1" applyFont="1" applyFill="1" applyBorder="1" applyAlignment="1" applyProtection="1">
      <protection hidden="1"/>
    </xf>
    <xf numFmtId="165" fontId="3" fillId="7" borderId="0" xfId="0" applyNumberFormat="1" applyFont="1" applyFill="1"/>
    <xf numFmtId="165" fontId="10" fillId="0" borderId="19" xfId="4" applyNumberFormat="1" applyFont="1" applyFill="1" applyBorder="1" applyAlignment="1" applyProtection="1">
      <protection hidden="1"/>
    </xf>
    <xf numFmtId="0" fontId="11" fillId="0" borderId="2" xfId="0" applyFont="1" applyBorder="1"/>
    <xf numFmtId="165" fontId="10" fillId="7" borderId="19" xfId="4" applyNumberFormat="1" applyFont="1" applyFill="1" applyBorder="1" applyAlignment="1" applyProtection="1">
      <protection hidden="1"/>
    </xf>
    <xf numFmtId="0" fontId="11" fillId="7" borderId="2" xfId="0" applyFont="1" applyFill="1" applyBorder="1"/>
    <xf numFmtId="4" fontId="2" fillId="7" borderId="20" xfId="0" applyNumberFormat="1" applyFont="1" applyFill="1" applyBorder="1" applyAlignment="1">
      <alignment horizontal="right" wrapText="1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7" borderId="0" xfId="0" applyFont="1" applyFill="1" applyAlignment="1">
      <alignment horizontal="center" wrapText="1"/>
    </xf>
    <xf numFmtId="0" fontId="5" fillId="7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3" fillId="10" borderId="1" xfId="0" applyFont="1" applyFill="1" applyBorder="1"/>
    <xf numFmtId="164" fontId="2" fillId="10" borderId="1" xfId="1" applyNumberFormat="1" applyFont="1" applyFill="1" applyBorder="1" applyAlignment="1" applyProtection="1">
      <alignment wrapText="1"/>
      <protection hidden="1"/>
    </xf>
    <xf numFmtId="4" fontId="3" fillId="10" borderId="1" xfId="0" applyNumberFormat="1" applyFont="1" applyFill="1" applyBorder="1"/>
  </cellXfs>
  <cellStyles count="12">
    <cellStyle name="Обычный" xfId="0" builtinId="0"/>
    <cellStyle name="Обычный 2" xfId="5"/>
    <cellStyle name="Обычный 2 137" xfId="4"/>
    <cellStyle name="Обычный 2 188" xfId="3"/>
    <cellStyle name="Обычный 2 2" xfId="8"/>
    <cellStyle name="Обычный 2 2 2" xfId="11"/>
    <cellStyle name="Обычный 2 255" xfId="2"/>
    <cellStyle name="Обычный 2 3" xfId="6"/>
    <cellStyle name="Обычный 2 4" xfId="7"/>
    <cellStyle name="Обычный 2 5" xfId="9"/>
    <cellStyle name="Обычный_tmp" xfId="1"/>
    <cellStyle name="Финансовый" xfId="10" builtinId="3"/>
  </cellStyles>
  <dxfs count="0"/>
  <tableStyles count="0" defaultTableStyle="TableStyleMedium9" defaultPivotStyle="PivotStyleLight16"/>
  <colors>
    <mruColors>
      <color rgb="FFCC66FF"/>
      <color rgb="FFFF99CC"/>
      <color rgb="FFCC0066"/>
      <color rgb="FF66FFFF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00B0F0"/>
  </sheetPr>
  <dimension ref="A1:Y29"/>
  <sheetViews>
    <sheetView view="pageBreakPreview" zoomScale="86" zoomScaleNormal="100" zoomScaleSheetLayoutView="86" workbookViewId="0">
      <selection activeCell="E9" sqref="E9:E22"/>
    </sheetView>
  </sheetViews>
  <sheetFormatPr defaultColWidth="9.140625" defaultRowHeight="15"/>
  <cols>
    <col min="1" max="1" width="10.28515625" style="24" customWidth="1"/>
    <col min="2" max="2" width="7.42578125" style="52" customWidth="1"/>
    <col min="3" max="3" width="66" style="24" customWidth="1"/>
    <col min="4" max="4" width="15" style="24" customWidth="1"/>
    <col min="5" max="5" width="12.28515625" style="24" customWidth="1"/>
    <col min="6" max="6" width="11" style="24" customWidth="1"/>
    <col min="7" max="7" width="13" style="24" customWidth="1"/>
    <col min="8" max="8" width="11.7109375" style="24" customWidth="1"/>
    <col min="9" max="9" width="11.28515625" style="24" customWidth="1"/>
    <col min="10" max="10" width="12.28515625" style="24" customWidth="1"/>
    <col min="11" max="11" width="13.140625" style="24" customWidth="1"/>
    <col min="12" max="12" width="11.140625" style="24" customWidth="1"/>
    <col min="13" max="13" width="10.85546875" style="24" customWidth="1"/>
    <col min="14" max="14" width="13.140625" style="24" customWidth="1"/>
    <col min="15" max="15" width="11.28515625" style="24" customWidth="1"/>
    <col min="16" max="16" width="12.140625" style="24" customWidth="1"/>
    <col min="17" max="17" width="12.85546875" style="24" customWidth="1"/>
    <col min="18" max="18" width="12.28515625" style="24" customWidth="1"/>
    <col min="19" max="19" width="12.42578125" style="24" customWidth="1"/>
    <col min="20" max="20" width="11.28515625" style="24" customWidth="1"/>
    <col min="21" max="21" width="15.5703125" style="24" customWidth="1"/>
    <col min="22" max="22" width="14.5703125" style="24" customWidth="1"/>
    <col min="23" max="24" width="9.42578125" style="24" customWidth="1"/>
    <col min="25" max="16384" width="9.140625" style="24"/>
  </cols>
  <sheetData>
    <row r="1" spans="1:25" ht="15.4" customHeight="1">
      <c r="A1" s="113" t="s">
        <v>158</v>
      </c>
      <c r="B1" s="113"/>
      <c r="C1" s="113"/>
      <c r="D1" s="113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</row>
    <row r="2" spans="1:25" ht="15.4" customHeight="1">
      <c r="A2" s="113" t="s">
        <v>88</v>
      </c>
      <c r="B2" s="113"/>
      <c r="C2" s="113"/>
      <c r="D2" s="113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</row>
    <row r="3" spans="1:25" ht="15.4" customHeight="1">
      <c r="A3" s="113" t="s">
        <v>159</v>
      </c>
      <c r="B3" s="113"/>
      <c r="C3" s="113"/>
      <c r="D3" s="113"/>
    </row>
    <row r="4" spans="1:25" ht="15.4" customHeight="1">
      <c r="A4" s="113" t="s">
        <v>160</v>
      </c>
      <c r="B4" s="113"/>
      <c r="C4" s="113"/>
      <c r="D4" s="113"/>
    </row>
    <row r="5" spans="1:25" ht="15.4" customHeight="1">
      <c r="A5" s="113" t="s">
        <v>161</v>
      </c>
      <c r="B5" s="113"/>
      <c r="C5" s="113"/>
      <c r="D5" s="113"/>
    </row>
    <row r="7" spans="1:25" ht="48">
      <c r="A7" s="4" t="s">
        <v>162</v>
      </c>
      <c r="B7" s="4" t="s">
        <v>11</v>
      </c>
      <c r="C7" s="4" t="s">
        <v>90</v>
      </c>
      <c r="D7" s="15" t="s">
        <v>87</v>
      </c>
    </row>
    <row r="8" spans="1:25" s="51" customFormat="1" ht="12.75">
      <c r="A8" s="17">
        <v>1</v>
      </c>
      <c r="B8" s="17">
        <v>2</v>
      </c>
      <c r="C8" s="17">
        <v>3</v>
      </c>
      <c r="D8" s="17">
        <v>4</v>
      </c>
    </row>
    <row r="9" spans="1:25" s="51" customFormat="1" ht="16.7" customHeight="1">
      <c r="A9" s="56">
        <v>1</v>
      </c>
      <c r="B9" s="62">
        <v>606</v>
      </c>
      <c r="C9" s="62" t="s">
        <v>167</v>
      </c>
      <c r="D9" s="56">
        <v>7.97</v>
      </c>
      <c r="E9" s="1">
        <v>606</v>
      </c>
    </row>
    <row r="10" spans="1:25" s="51" customFormat="1" ht="16.7" customHeight="1">
      <c r="A10" s="56">
        <v>2</v>
      </c>
      <c r="B10" s="62">
        <v>607</v>
      </c>
      <c r="C10" s="62" t="s">
        <v>168</v>
      </c>
      <c r="D10" s="56">
        <v>6.78</v>
      </c>
      <c r="E10" s="1">
        <v>607</v>
      </c>
    </row>
    <row r="11" spans="1:25" s="51" customFormat="1" ht="29.25" customHeight="1">
      <c r="A11" s="56">
        <v>3</v>
      </c>
      <c r="B11" s="62">
        <v>611</v>
      </c>
      <c r="C11" s="62" t="s">
        <v>170</v>
      </c>
      <c r="D11" s="56">
        <v>5.94</v>
      </c>
      <c r="E11" s="1">
        <v>611</v>
      </c>
    </row>
    <row r="12" spans="1:25" s="51" customFormat="1" ht="16.7" customHeight="1">
      <c r="A12" s="68">
        <v>4</v>
      </c>
      <c r="B12" s="69">
        <v>601</v>
      </c>
      <c r="C12" s="69" t="s">
        <v>1</v>
      </c>
      <c r="D12" s="68">
        <v>5.39</v>
      </c>
      <c r="E12" s="1">
        <v>601</v>
      </c>
    </row>
    <row r="13" spans="1:25" s="51" customFormat="1" ht="16.7" customHeight="1">
      <c r="A13" s="68">
        <v>5</v>
      </c>
      <c r="B13" s="69">
        <v>620</v>
      </c>
      <c r="C13" s="69" t="s">
        <v>9</v>
      </c>
      <c r="D13" s="68">
        <v>5.1100000000000003</v>
      </c>
      <c r="E13" s="1">
        <v>620</v>
      </c>
    </row>
    <row r="14" spans="1:25" s="51" customFormat="1" ht="30.75" customHeight="1">
      <c r="A14" s="68">
        <v>6</v>
      </c>
      <c r="B14" s="1">
        <v>609</v>
      </c>
      <c r="C14" s="1" t="s">
        <v>169</v>
      </c>
      <c r="D14" s="19">
        <v>4.7300000000000004</v>
      </c>
      <c r="E14" s="1"/>
    </row>
    <row r="15" spans="1:25" s="51" customFormat="1" ht="29.25" customHeight="1">
      <c r="A15" s="68">
        <v>7</v>
      </c>
      <c r="B15" s="1">
        <v>618</v>
      </c>
      <c r="C15" s="1" t="s">
        <v>7</v>
      </c>
      <c r="D15" s="19">
        <v>4.5599999999999996</v>
      </c>
      <c r="E15" s="1">
        <v>618</v>
      </c>
    </row>
    <row r="16" spans="1:25" s="51" customFormat="1" ht="16.7" customHeight="1">
      <c r="A16" s="68">
        <v>8</v>
      </c>
      <c r="B16" s="1">
        <v>617</v>
      </c>
      <c r="C16" s="1" t="s">
        <v>6</v>
      </c>
      <c r="D16" s="19">
        <v>4.4000000000000004</v>
      </c>
      <c r="E16" s="1">
        <v>609</v>
      </c>
    </row>
    <row r="17" spans="1:5" s="51" customFormat="1" ht="27.75" customHeight="1">
      <c r="A17" s="68">
        <v>9</v>
      </c>
      <c r="B17" s="1">
        <v>619</v>
      </c>
      <c r="C17" s="1" t="s">
        <v>8</v>
      </c>
      <c r="D17" s="19">
        <v>4.1399999999999997</v>
      </c>
      <c r="E17" s="1">
        <v>619</v>
      </c>
    </row>
    <row r="18" spans="1:5" s="51" customFormat="1" ht="16.7" customHeight="1">
      <c r="A18" s="68">
        <v>10</v>
      </c>
      <c r="B18" s="1">
        <v>621</v>
      </c>
      <c r="C18" s="1" t="s">
        <v>10</v>
      </c>
      <c r="D18" s="19">
        <v>4</v>
      </c>
      <c r="E18" s="1">
        <v>621</v>
      </c>
    </row>
    <row r="19" spans="1:5" s="51" customFormat="1">
      <c r="A19" s="68">
        <v>11</v>
      </c>
      <c r="B19" s="1">
        <v>604</v>
      </c>
      <c r="C19" s="1" t="s">
        <v>3</v>
      </c>
      <c r="D19" s="19">
        <v>3.96</v>
      </c>
      <c r="E19" s="1">
        <v>604</v>
      </c>
    </row>
    <row r="20" spans="1:5" ht="30">
      <c r="A20" s="68">
        <v>12</v>
      </c>
      <c r="B20" s="69">
        <v>624</v>
      </c>
      <c r="C20" s="69" t="s">
        <v>171</v>
      </c>
      <c r="D20" s="68">
        <v>3.67</v>
      </c>
      <c r="E20" s="1">
        <v>624</v>
      </c>
    </row>
    <row r="21" spans="1:5" ht="30">
      <c r="A21" s="68">
        <v>13</v>
      </c>
      <c r="B21" s="1">
        <v>602</v>
      </c>
      <c r="C21" s="1" t="s">
        <v>2</v>
      </c>
      <c r="D21" s="19">
        <v>3.08</v>
      </c>
      <c r="E21" s="1">
        <v>602</v>
      </c>
    </row>
    <row r="22" spans="1:5" ht="30">
      <c r="A22" s="68">
        <v>14</v>
      </c>
      <c r="B22" s="1">
        <v>605</v>
      </c>
      <c r="C22" s="1" t="s">
        <v>4</v>
      </c>
      <c r="D22" s="19">
        <v>2.93</v>
      </c>
      <c r="E22" s="1">
        <v>605</v>
      </c>
    </row>
    <row r="23" spans="1:5">
      <c r="B23" s="24"/>
      <c r="E23" s="1"/>
    </row>
    <row r="24" spans="1:5">
      <c r="B24" s="24"/>
      <c r="E24" s="1"/>
    </row>
    <row r="25" spans="1:5">
      <c r="B25" s="24"/>
      <c r="E25" s="1"/>
    </row>
    <row r="26" spans="1:5">
      <c r="B26" s="24"/>
      <c r="E26" s="1"/>
    </row>
    <row r="29" spans="1:5">
      <c r="D29" s="24">
        <f>SUM(D9:D28)</f>
        <v>66.660000000000011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A1:D1"/>
    <mergeCell ref="A2:D2"/>
    <mergeCell ref="A3:D3"/>
    <mergeCell ref="A4:D4"/>
    <mergeCell ref="A5:D5"/>
  </mergeCells>
  <pageMargins left="0.31496062992125984" right="0.19685039370078741" top="0.35433070866141736" bottom="0.19685039370078741" header="0.15748031496062992" footer="0.1574803149606299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>
    <tabColor rgb="FFFF99FF"/>
  </sheetPr>
  <dimension ref="A1:F23"/>
  <sheetViews>
    <sheetView view="pageBreakPreview" zoomScale="84" zoomScaleNormal="75" zoomScaleSheetLayoutView="84" workbookViewId="0">
      <selection activeCell="A19" sqref="A19:F19"/>
    </sheetView>
  </sheetViews>
  <sheetFormatPr defaultColWidth="9.140625" defaultRowHeight="15"/>
  <cols>
    <col min="1" max="1" width="8.42578125" style="88" customWidth="1"/>
    <col min="2" max="2" width="41.140625" style="87" customWidth="1"/>
    <col min="3" max="3" width="24.85546875" style="87" customWidth="1"/>
    <col min="4" max="4" width="22.85546875" style="87" customWidth="1"/>
    <col min="5" max="5" width="19.5703125" style="87" customWidth="1"/>
    <col min="6" max="6" width="13.140625" style="87" customWidth="1"/>
    <col min="7" max="16384" width="9.140625" style="87"/>
  </cols>
  <sheetData>
    <row r="1" spans="1:6" s="86" customFormat="1" ht="20.25">
      <c r="A1" s="125" t="s">
        <v>17</v>
      </c>
      <c r="B1" s="125"/>
      <c r="C1" s="125"/>
      <c r="D1" s="125"/>
      <c r="E1" s="125"/>
      <c r="F1" s="125"/>
    </row>
    <row r="2" spans="1:6" ht="41.45" customHeight="1">
      <c r="A2" s="126" t="s">
        <v>110</v>
      </c>
      <c r="B2" s="126"/>
      <c r="C2" s="126"/>
      <c r="D2" s="126"/>
      <c r="E2" s="126"/>
      <c r="F2" s="126"/>
    </row>
    <row r="4" spans="1:6">
      <c r="F4" s="89" t="s">
        <v>150</v>
      </c>
    </row>
    <row r="5" spans="1:6" ht="165">
      <c r="A5" s="77" t="s">
        <v>11</v>
      </c>
      <c r="B5" s="77" t="s">
        <v>12</v>
      </c>
      <c r="C5" s="77" t="s">
        <v>108</v>
      </c>
      <c r="D5" s="77" t="s">
        <v>109</v>
      </c>
      <c r="E5" s="77" t="s">
        <v>39</v>
      </c>
      <c r="F5" s="77" t="s">
        <v>15</v>
      </c>
    </row>
    <row r="6" spans="1:6">
      <c r="A6" s="90">
        <v>601</v>
      </c>
      <c r="B6" s="90" t="s">
        <v>1</v>
      </c>
      <c r="C6" s="101">
        <v>211546897.81</v>
      </c>
      <c r="D6" s="101">
        <v>210490533.86999997</v>
      </c>
      <c r="E6" s="68">
        <f t="shared" ref="E6:E20" si="0">ROUND((C6-D6)/C6*100,2)</f>
        <v>0.5</v>
      </c>
      <c r="F6" s="68">
        <v>4</v>
      </c>
    </row>
    <row r="7" spans="1:6" ht="30">
      <c r="A7" s="69">
        <v>602</v>
      </c>
      <c r="B7" s="69" t="s">
        <v>2</v>
      </c>
      <c r="C7" s="101">
        <v>82707740.969999999</v>
      </c>
      <c r="D7" s="101">
        <v>82089681.019999996</v>
      </c>
      <c r="E7" s="68">
        <f t="shared" si="0"/>
        <v>0.75</v>
      </c>
      <c r="F7" s="68">
        <v>4</v>
      </c>
    </row>
    <row r="8" spans="1:6" ht="30">
      <c r="A8" s="69">
        <v>604</v>
      </c>
      <c r="B8" s="69" t="s">
        <v>3</v>
      </c>
      <c r="C8" s="101">
        <v>38588999.739999995</v>
      </c>
      <c r="D8" s="101">
        <v>37827907.170000002</v>
      </c>
      <c r="E8" s="68">
        <f t="shared" si="0"/>
        <v>1.97</v>
      </c>
      <c r="F8" s="68">
        <v>3</v>
      </c>
    </row>
    <row r="9" spans="1:6" ht="30">
      <c r="A9" s="69">
        <v>605</v>
      </c>
      <c r="B9" s="69" t="s">
        <v>4</v>
      </c>
      <c r="C9" s="101">
        <v>27872462.370000001</v>
      </c>
      <c r="D9" s="101">
        <v>27872175.940000001</v>
      </c>
      <c r="E9" s="68">
        <f t="shared" si="0"/>
        <v>0</v>
      </c>
      <c r="F9" s="68">
        <v>5</v>
      </c>
    </row>
    <row r="10" spans="1:6" ht="30">
      <c r="A10" s="69">
        <v>606</v>
      </c>
      <c r="B10" s="69" t="s">
        <v>167</v>
      </c>
      <c r="C10" s="101">
        <v>1409217011.9100001</v>
      </c>
      <c r="D10" s="101">
        <v>1398785673.46</v>
      </c>
      <c r="E10" s="68">
        <f t="shared" si="0"/>
        <v>0.74</v>
      </c>
      <c r="F10" s="68">
        <v>4</v>
      </c>
    </row>
    <row r="11" spans="1:6" ht="30">
      <c r="A11" s="69">
        <v>607</v>
      </c>
      <c r="B11" s="69" t="s">
        <v>168</v>
      </c>
      <c r="C11" s="101">
        <v>289278589.94</v>
      </c>
      <c r="D11" s="101">
        <v>289193353.92000002</v>
      </c>
      <c r="E11" s="68">
        <f t="shared" si="0"/>
        <v>0.03</v>
      </c>
      <c r="F11" s="68">
        <v>5</v>
      </c>
    </row>
    <row r="12" spans="1:6" ht="45">
      <c r="A12" s="69">
        <v>609</v>
      </c>
      <c r="B12" s="69" t="s">
        <v>169</v>
      </c>
      <c r="C12" s="101">
        <v>84626162.170000002</v>
      </c>
      <c r="D12" s="101">
        <v>84612378.709999993</v>
      </c>
      <c r="E12" s="68">
        <f t="shared" si="0"/>
        <v>0.02</v>
      </c>
      <c r="F12" s="68">
        <v>5</v>
      </c>
    </row>
    <row r="13" spans="1:6" ht="45">
      <c r="A13" s="69">
        <v>611</v>
      </c>
      <c r="B13" s="69" t="s">
        <v>170</v>
      </c>
      <c r="C13" s="101">
        <v>202104617.82999998</v>
      </c>
      <c r="D13" s="101">
        <v>200550880.29999998</v>
      </c>
      <c r="E13" s="68">
        <f t="shared" si="0"/>
        <v>0.77</v>
      </c>
      <c r="F13" s="68">
        <v>4</v>
      </c>
    </row>
    <row r="14" spans="1:6" ht="30">
      <c r="A14" s="69">
        <v>617</v>
      </c>
      <c r="B14" s="69" t="s">
        <v>6</v>
      </c>
      <c r="C14" s="101">
        <v>101105583.01000001</v>
      </c>
      <c r="D14" s="101">
        <v>95465824.810000002</v>
      </c>
      <c r="E14" s="68">
        <f t="shared" si="0"/>
        <v>5.58</v>
      </c>
      <c r="F14" s="68">
        <v>2</v>
      </c>
    </row>
    <row r="15" spans="1:6" ht="30">
      <c r="A15" s="69">
        <v>618</v>
      </c>
      <c r="B15" s="69" t="s">
        <v>7</v>
      </c>
      <c r="C15" s="101">
        <v>93293375.530000001</v>
      </c>
      <c r="D15" s="101">
        <v>93293375.530000001</v>
      </c>
      <c r="E15" s="68">
        <f t="shared" si="0"/>
        <v>0</v>
      </c>
      <c r="F15" s="68">
        <v>5</v>
      </c>
    </row>
    <row r="16" spans="1:6" ht="30">
      <c r="A16" s="69">
        <v>619</v>
      </c>
      <c r="B16" s="69" t="s">
        <v>8</v>
      </c>
      <c r="C16" s="101">
        <v>157534440.15000001</v>
      </c>
      <c r="D16" s="101">
        <v>157446141.00999999</v>
      </c>
      <c r="E16" s="68">
        <f t="shared" si="0"/>
        <v>0.06</v>
      </c>
      <c r="F16" s="68">
        <v>5</v>
      </c>
    </row>
    <row r="17" spans="1:6" ht="30">
      <c r="A17" s="69">
        <v>620</v>
      </c>
      <c r="B17" s="69" t="s">
        <v>9</v>
      </c>
      <c r="C17" s="101">
        <v>673916373.5</v>
      </c>
      <c r="D17" s="101">
        <v>606141184.83000004</v>
      </c>
      <c r="E17" s="68">
        <f t="shared" si="0"/>
        <v>10.06</v>
      </c>
      <c r="F17" s="68">
        <v>1</v>
      </c>
    </row>
    <row r="18" spans="1:6" ht="30">
      <c r="A18" s="69">
        <v>621</v>
      </c>
      <c r="B18" s="69" t="s">
        <v>10</v>
      </c>
      <c r="C18" s="101">
        <v>190401619.80000001</v>
      </c>
      <c r="D18" s="101">
        <v>149165228.77000001</v>
      </c>
      <c r="E18" s="68">
        <f t="shared" si="0"/>
        <v>21.66</v>
      </c>
      <c r="F18" s="68">
        <v>1</v>
      </c>
    </row>
    <row r="19" spans="1:6" ht="45">
      <c r="A19" s="69">
        <v>624</v>
      </c>
      <c r="B19" s="69" t="s">
        <v>171</v>
      </c>
      <c r="C19" s="101">
        <v>96688592.489999995</v>
      </c>
      <c r="D19" s="101">
        <v>96658776.289999992</v>
      </c>
      <c r="E19" s="68">
        <f t="shared" si="0"/>
        <v>0.03</v>
      </c>
      <c r="F19" s="68">
        <v>5</v>
      </c>
    </row>
    <row r="20" spans="1:6">
      <c r="A20" s="99"/>
      <c r="B20" s="100"/>
      <c r="C20" s="112">
        <f>SUM(C6:C19)</f>
        <v>3658882467.2200007</v>
      </c>
      <c r="D20" s="112">
        <f>SUM(D6:D19)</f>
        <v>3529593115.6300006</v>
      </c>
      <c r="E20" s="111">
        <f t="shared" si="0"/>
        <v>3.53</v>
      </c>
    </row>
    <row r="22" spans="1:6">
      <c r="C22" s="93">
        <f>3663244102.36-2880530.84-1481104.3</f>
        <v>3658882467.2199998</v>
      </c>
      <c r="D22" s="93">
        <f>3533954750.77-2880530.84-1481104.3</f>
        <v>3529593115.6299996</v>
      </c>
    </row>
    <row r="23" spans="1:6">
      <c r="C23" s="93">
        <f>C20-C22</f>
        <v>0</v>
      </c>
      <c r="D23" s="93">
        <f>D20-D22</f>
        <v>0</v>
      </c>
    </row>
  </sheetData>
  <sheetProtection formatCells="0" formatColumns="0" formatRows="0" insertColumns="0" insertRows="0" insertHyperlinks="0" deleteColumns="0" deleteRows="0" sort="0" autoFilter="0" pivotTables="0"/>
  <sortState ref="A6:F23">
    <sortCondition ref="A6"/>
  </sortState>
  <mergeCells count="2">
    <mergeCell ref="A1:F1"/>
    <mergeCell ref="A2:F2"/>
  </mergeCells>
  <pageMargins left="0.35433070866141736" right="0.19685039370078741" top="0.74803149606299213" bottom="0.74803149606299213" header="0.31496062992125984" footer="0.31496062992125984"/>
  <pageSetup paperSize="9" scale="7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>
    <tabColor rgb="FF00B0F0"/>
  </sheetPr>
  <dimension ref="A1:H23"/>
  <sheetViews>
    <sheetView view="pageBreakPreview" zoomScale="84" zoomScaleNormal="75" zoomScaleSheetLayoutView="84" workbookViewId="0">
      <selection activeCell="B19" sqref="B19"/>
    </sheetView>
  </sheetViews>
  <sheetFormatPr defaultColWidth="9.140625" defaultRowHeight="15"/>
  <cols>
    <col min="1" max="1" width="8.42578125" style="88" customWidth="1"/>
    <col min="2" max="2" width="41.140625" style="87" customWidth="1"/>
    <col min="3" max="3" width="17.7109375" style="87" customWidth="1"/>
    <col min="4" max="4" width="20" style="87" customWidth="1"/>
    <col min="5" max="5" width="20.28515625" style="87" customWidth="1"/>
    <col min="6" max="6" width="23.5703125" style="87" customWidth="1"/>
    <col min="7" max="7" width="20.140625" style="87" customWidth="1"/>
    <col min="8" max="8" width="13.140625" style="87" customWidth="1"/>
    <col min="9" max="16384" width="9.140625" style="87"/>
  </cols>
  <sheetData>
    <row r="1" spans="1:8" s="86" customFormat="1" ht="20.25">
      <c r="A1" s="125" t="s">
        <v>17</v>
      </c>
      <c r="B1" s="125"/>
      <c r="C1" s="125"/>
      <c r="D1" s="125"/>
      <c r="E1" s="125"/>
      <c r="F1" s="125"/>
      <c r="G1" s="125"/>
      <c r="H1" s="125"/>
    </row>
    <row r="2" spans="1:8" ht="19.5">
      <c r="A2" s="126" t="s">
        <v>113</v>
      </c>
      <c r="B2" s="126"/>
      <c r="C2" s="126"/>
      <c r="D2" s="126"/>
      <c r="E2" s="126"/>
      <c r="F2" s="126"/>
      <c r="G2" s="126"/>
      <c r="H2" s="126"/>
    </row>
    <row r="4" spans="1:8">
      <c r="H4" s="89" t="s">
        <v>150</v>
      </c>
    </row>
    <row r="5" spans="1:8" ht="137.44999999999999" customHeight="1">
      <c r="A5" s="77" t="s">
        <v>11</v>
      </c>
      <c r="B5" s="77" t="s">
        <v>12</v>
      </c>
      <c r="C5" s="77" t="s">
        <v>165</v>
      </c>
      <c r="D5" s="77" t="s">
        <v>166</v>
      </c>
      <c r="E5" s="77" t="s">
        <v>21</v>
      </c>
      <c r="F5" s="77" t="s">
        <v>22</v>
      </c>
      <c r="G5" s="77" t="s">
        <v>111</v>
      </c>
      <c r="H5" s="77" t="s">
        <v>15</v>
      </c>
    </row>
    <row r="6" spans="1:8">
      <c r="A6" s="69">
        <v>601</v>
      </c>
      <c r="B6" s="69" t="str">
        <f>'2.2. неис. БА в части местн.'!B6</f>
        <v>Администрация города Ставрополя</v>
      </c>
      <c r="C6" s="98">
        <v>221333598.44</v>
      </c>
      <c r="D6" s="102">
        <v>134188348.92000002</v>
      </c>
      <c r="E6" s="103">
        <f t="shared" ref="E6:E19" si="0">C6-D6</f>
        <v>87145249.519999981</v>
      </c>
      <c r="F6" s="103">
        <f t="shared" ref="F6:F19" si="1">ROUND(D6/3,2)</f>
        <v>44729449.640000001</v>
      </c>
      <c r="G6" s="68">
        <f t="shared" ref="G6:G19" si="2">ROUND((E6-F6)/F6*100,2)</f>
        <v>94.83</v>
      </c>
      <c r="H6" s="68">
        <v>1</v>
      </c>
    </row>
    <row r="7" spans="1:8" ht="30">
      <c r="A7" s="69">
        <v>602</v>
      </c>
      <c r="B7" s="69" t="str">
        <f>'2.2. неис. БА в части местн.'!B7</f>
        <v>Комитет по управлению муниципальным имуществом города Ставрополя</v>
      </c>
      <c r="C7" s="98">
        <v>83459641.019999996</v>
      </c>
      <c r="D7" s="102">
        <v>47709334.890000001</v>
      </c>
      <c r="E7" s="103">
        <f t="shared" si="0"/>
        <v>35750306.129999995</v>
      </c>
      <c r="F7" s="103">
        <f t="shared" si="1"/>
        <v>15903111.630000001</v>
      </c>
      <c r="G7" s="68">
        <f t="shared" si="2"/>
        <v>124.8</v>
      </c>
      <c r="H7" s="68">
        <v>0</v>
      </c>
    </row>
    <row r="8" spans="1:8" ht="30">
      <c r="A8" s="69">
        <v>604</v>
      </c>
      <c r="B8" s="69" t="str">
        <f>'2.2. неис. БА в части местн.'!B8</f>
        <v>Комитет финансов и бюджета администрации города Ставрополя</v>
      </c>
      <c r="C8" s="98">
        <v>38975437.170000002</v>
      </c>
      <c r="D8" s="102">
        <v>27271713.859999999</v>
      </c>
      <c r="E8" s="103">
        <f t="shared" si="0"/>
        <v>11703723.310000002</v>
      </c>
      <c r="F8" s="103">
        <f t="shared" si="1"/>
        <v>9090571.2899999991</v>
      </c>
      <c r="G8" s="68">
        <f t="shared" si="2"/>
        <v>28.75</v>
      </c>
      <c r="H8" s="68">
        <v>4</v>
      </c>
    </row>
    <row r="9" spans="1:8" ht="30">
      <c r="A9" s="69">
        <v>605</v>
      </c>
      <c r="B9" s="69" t="s">
        <v>4</v>
      </c>
      <c r="C9" s="98">
        <v>28733365.940000001</v>
      </c>
      <c r="D9" s="102">
        <v>19242109.190000001</v>
      </c>
      <c r="E9" s="103">
        <f t="shared" si="0"/>
        <v>9491256.75</v>
      </c>
      <c r="F9" s="103">
        <f t="shared" si="1"/>
        <v>6414036.4000000004</v>
      </c>
      <c r="G9" s="68">
        <f t="shared" si="2"/>
        <v>47.98</v>
      </c>
      <c r="H9" s="68">
        <v>3</v>
      </c>
    </row>
    <row r="10" spans="1:8" ht="30">
      <c r="A10" s="69">
        <v>606</v>
      </c>
      <c r="B10" s="69" t="str">
        <f>'2.2. неис. БА в части местн.'!B10</f>
        <v>Комитет образования администрации города Ставрополя</v>
      </c>
      <c r="C10" s="98">
        <v>3143183337.0900002</v>
      </c>
      <c r="D10" s="102">
        <v>2117143040.5299997</v>
      </c>
      <c r="E10" s="103">
        <f t="shared" si="0"/>
        <v>1026040296.5600004</v>
      </c>
      <c r="F10" s="103">
        <f t="shared" si="1"/>
        <v>705714346.84000003</v>
      </c>
      <c r="G10" s="68">
        <f t="shared" si="2"/>
        <v>45.39</v>
      </c>
      <c r="H10" s="68">
        <v>3</v>
      </c>
    </row>
    <row r="11" spans="1:8" ht="30">
      <c r="A11" s="69">
        <v>607</v>
      </c>
      <c r="B11" s="69" t="str">
        <f>'2.2. неис. БА в части местн.'!B11</f>
        <v>Комитет культуры администрации города Ставрополя</v>
      </c>
      <c r="C11" s="98">
        <v>297945915.92000002</v>
      </c>
      <c r="D11" s="102">
        <v>175386879.59999999</v>
      </c>
      <c r="E11" s="103">
        <f t="shared" si="0"/>
        <v>122559036.32000002</v>
      </c>
      <c r="F11" s="103">
        <f t="shared" si="1"/>
        <v>58462293.200000003</v>
      </c>
      <c r="G11" s="68">
        <f t="shared" si="2"/>
        <v>109.64</v>
      </c>
      <c r="H11" s="68">
        <v>0</v>
      </c>
    </row>
    <row r="12" spans="1:8" ht="45">
      <c r="A12" s="69">
        <v>609</v>
      </c>
      <c r="B12" s="69" t="str">
        <f>'2.2. неис. БА в части местн.'!B12</f>
        <v>Комитет труда и социальной защиты населения администрации города Ставрополя</v>
      </c>
      <c r="C12" s="98">
        <v>1785415760.6300001</v>
      </c>
      <c r="D12" s="102">
        <v>1344090532.3600001</v>
      </c>
      <c r="E12" s="103">
        <f t="shared" si="0"/>
        <v>441325228.26999998</v>
      </c>
      <c r="F12" s="103">
        <f t="shared" si="1"/>
        <v>448030177.44999999</v>
      </c>
      <c r="G12" s="68">
        <f t="shared" si="2"/>
        <v>-1.5</v>
      </c>
      <c r="H12" s="68">
        <v>5</v>
      </c>
    </row>
    <row r="13" spans="1:8" ht="45">
      <c r="A13" s="69">
        <v>611</v>
      </c>
      <c r="B13" s="69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98">
        <v>202285000.29999998</v>
      </c>
      <c r="D13" s="102">
        <v>127677672.73999999</v>
      </c>
      <c r="E13" s="103">
        <f t="shared" si="0"/>
        <v>74607327.559999987</v>
      </c>
      <c r="F13" s="103">
        <f t="shared" si="1"/>
        <v>42559224.25</v>
      </c>
      <c r="G13" s="68">
        <f t="shared" si="2"/>
        <v>75.3</v>
      </c>
      <c r="H13" s="68">
        <v>2</v>
      </c>
    </row>
    <row r="14" spans="1:8" ht="30">
      <c r="A14" s="69">
        <v>617</v>
      </c>
      <c r="B14" s="69" t="str">
        <f>'2.2. неис. БА в части местн.'!B14</f>
        <v>Администрация Ленинского района города Ставрополя</v>
      </c>
      <c r="C14" s="98">
        <v>106398144.81</v>
      </c>
      <c r="D14" s="102">
        <v>66978773.129999995</v>
      </c>
      <c r="E14" s="103">
        <f t="shared" si="0"/>
        <v>39419371.680000007</v>
      </c>
      <c r="F14" s="103">
        <f t="shared" si="1"/>
        <v>22326257.710000001</v>
      </c>
      <c r="G14" s="68">
        <f t="shared" si="2"/>
        <v>76.56</v>
      </c>
      <c r="H14" s="68">
        <v>2</v>
      </c>
    </row>
    <row r="15" spans="1:8" ht="30">
      <c r="A15" s="69">
        <v>618</v>
      </c>
      <c r="B15" s="69" t="str">
        <f>'2.2. неис. БА в части местн.'!B15</f>
        <v>Администрация Октябрьского района города Ставрополя</v>
      </c>
      <c r="C15" s="98">
        <v>102928662.29000001</v>
      </c>
      <c r="D15" s="102">
        <v>67342651.820000008</v>
      </c>
      <c r="E15" s="103">
        <f t="shared" si="0"/>
        <v>35586010.469999999</v>
      </c>
      <c r="F15" s="103">
        <f t="shared" si="1"/>
        <v>22447550.609999999</v>
      </c>
      <c r="G15" s="68">
        <f t="shared" si="2"/>
        <v>58.53</v>
      </c>
      <c r="H15" s="68">
        <v>3</v>
      </c>
    </row>
    <row r="16" spans="1:8" ht="30">
      <c r="A16" s="69">
        <v>619</v>
      </c>
      <c r="B16" s="69" t="str">
        <f>'2.2. неис. БА в части местн.'!B16</f>
        <v>Администрация Промышленного района города Ставрополя</v>
      </c>
      <c r="C16" s="98">
        <v>162127665.84999999</v>
      </c>
      <c r="D16" s="102">
        <v>90247269.200000003</v>
      </c>
      <c r="E16" s="103">
        <f t="shared" si="0"/>
        <v>71880396.649999991</v>
      </c>
      <c r="F16" s="103">
        <f t="shared" si="1"/>
        <v>30082423.07</v>
      </c>
      <c r="G16" s="68">
        <f t="shared" si="2"/>
        <v>138.94</v>
      </c>
      <c r="H16" s="68">
        <v>0</v>
      </c>
    </row>
    <row r="17" spans="1:8" ht="30">
      <c r="A17" s="69">
        <v>620</v>
      </c>
      <c r="B17" s="69" t="str">
        <f>'2.2. неис. БА в части местн.'!B17</f>
        <v>Комитет городского хозяйства администрации города Ставрополя</v>
      </c>
      <c r="C17" s="98">
        <v>1272709323.3299997</v>
      </c>
      <c r="D17" s="102">
        <v>756039871.86000001</v>
      </c>
      <c r="E17" s="103">
        <f t="shared" si="0"/>
        <v>516669451.46999967</v>
      </c>
      <c r="F17" s="103">
        <f t="shared" si="1"/>
        <v>252013290.62</v>
      </c>
      <c r="G17" s="68">
        <f t="shared" si="2"/>
        <v>105.02</v>
      </c>
      <c r="H17" s="68">
        <v>0</v>
      </c>
    </row>
    <row r="18" spans="1:8" ht="30">
      <c r="A18" s="69">
        <v>621</v>
      </c>
      <c r="B18" s="69" t="str">
        <f>'2.2. неис. БА в части местн.'!B18</f>
        <v>Комитет градостроительства администрации города Ставрополя</v>
      </c>
      <c r="C18" s="98">
        <v>167099780.91</v>
      </c>
      <c r="D18" s="102">
        <v>122042819.24000001</v>
      </c>
      <c r="E18" s="103">
        <f t="shared" si="0"/>
        <v>45056961.669999987</v>
      </c>
      <c r="F18" s="103">
        <f t="shared" si="1"/>
        <v>40680939.75</v>
      </c>
      <c r="G18" s="68">
        <f t="shared" si="2"/>
        <v>10.76</v>
      </c>
      <c r="H18" s="68">
        <v>5</v>
      </c>
    </row>
    <row r="19" spans="1:8" ht="45">
      <c r="A19" s="69">
        <v>624</v>
      </c>
      <c r="B19" s="69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98">
        <v>97128996.289999992</v>
      </c>
      <c r="D19" s="102">
        <v>69712945.149999991</v>
      </c>
      <c r="E19" s="103">
        <f t="shared" si="0"/>
        <v>27416051.140000001</v>
      </c>
      <c r="F19" s="103">
        <f t="shared" si="1"/>
        <v>23237648.379999999</v>
      </c>
      <c r="G19" s="68">
        <f t="shared" si="2"/>
        <v>17.98</v>
      </c>
      <c r="H19" s="68">
        <v>5</v>
      </c>
    </row>
    <row r="20" spans="1:8">
      <c r="C20" s="93">
        <f>SUM(C6:C19)</f>
        <v>7709724629.9900017</v>
      </c>
      <c r="D20" s="93">
        <f>SUM(D6:D19)</f>
        <v>5165073962.4899988</v>
      </c>
      <c r="E20" s="93">
        <f>SUM(E6:E19)</f>
        <v>2544650667.5</v>
      </c>
      <c r="F20" s="93">
        <f>SUM(F6:F19)</f>
        <v>1721691320.8400002</v>
      </c>
    </row>
    <row r="21" spans="1:8">
      <c r="F21" s="93"/>
    </row>
    <row r="22" spans="1:8">
      <c r="C22" s="104">
        <f>7714086265.13-2880530.84-1481104.3</f>
        <v>7709724629.9899998</v>
      </c>
      <c r="D22" s="93">
        <f>D20</f>
        <v>5165073962.4899988</v>
      </c>
    </row>
    <row r="23" spans="1:8">
      <c r="C23" s="93">
        <f>C20-C22</f>
        <v>0</v>
      </c>
      <c r="D23" s="93">
        <f>D20-D22</f>
        <v>0</v>
      </c>
    </row>
  </sheetData>
  <sheetProtection formatCells="0" formatColumns="0" formatRows="0" insertColumns="0" insertRows="0" insertHyperlinks="0" deleteColumns="0" deleteRows="0" sort="0" autoFilter="0" pivotTables="0"/>
  <sortState ref="A6:H23">
    <sortCondition ref="A6"/>
  </sortState>
  <mergeCells count="2">
    <mergeCell ref="A1:H1"/>
    <mergeCell ref="A2:H2"/>
  </mergeCells>
  <pageMargins left="0.28999999999999998" right="0.19685039370078741" top="0.43307086614173229" bottom="0.43307086614173229" header="0.23622047244094491" footer="0.31496062992125984"/>
  <pageSetup paperSize="9" scale="6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>
    <tabColor rgb="FFFFC000"/>
  </sheetPr>
  <dimension ref="A1:F23"/>
  <sheetViews>
    <sheetView view="pageBreakPreview" zoomScale="84" zoomScaleNormal="75" zoomScaleSheetLayoutView="84" workbookViewId="0">
      <selection activeCell="B19" sqref="B19"/>
    </sheetView>
  </sheetViews>
  <sheetFormatPr defaultColWidth="9.140625" defaultRowHeight="15"/>
  <cols>
    <col min="1" max="1" width="8.42578125" style="88" customWidth="1"/>
    <col min="2" max="2" width="41.140625" style="87" customWidth="1"/>
    <col min="3" max="3" width="20.28515625" style="87" customWidth="1"/>
    <col min="4" max="4" width="23.5703125" style="87" customWidth="1"/>
    <col min="5" max="5" width="19.5703125" style="87" customWidth="1"/>
    <col min="6" max="6" width="13.140625" style="87" customWidth="1"/>
    <col min="7" max="16384" width="9.140625" style="87"/>
  </cols>
  <sheetData>
    <row r="1" spans="1:6" s="86" customFormat="1" ht="20.25">
      <c r="A1" s="125" t="s">
        <v>17</v>
      </c>
      <c r="B1" s="125"/>
      <c r="C1" s="125"/>
      <c r="D1" s="125"/>
      <c r="E1" s="125"/>
      <c r="F1" s="125"/>
    </row>
    <row r="2" spans="1:6" ht="51" customHeight="1">
      <c r="A2" s="126" t="s">
        <v>112</v>
      </c>
      <c r="B2" s="126"/>
      <c r="C2" s="126"/>
      <c r="D2" s="126"/>
      <c r="E2" s="126"/>
      <c r="F2" s="126"/>
    </row>
    <row r="5" spans="1:6" ht="165">
      <c r="A5" s="77" t="s">
        <v>11</v>
      </c>
      <c r="B5" s="77" t="s">
        <v>12</v>
      </c>
      <c r="C5" s="77" t="s">
        <v>23</v>
      </c>
      <c r="D5" s="77" t="s">
        <v>24</v>
      </c>
      <c r="E5" s="77" t="s">
        <v>25</v>
      </c>
      <c r="F5" s="77" t="s">
        <v>15</v>
      </c>
    </row>
    <row r="6" spans="1:6">
      <c r="A6" s="90">
        <v>601</v>
      </c>
      <c r="B6" s="69" t="str">
        <f>'2.2. неис. БА в части местн.'!B6</f>
        <v>Администрация города Ставрополя</v>
      </c>
      <c r="C6" s="74">
        <v>4733.13</v>
      </c>
      <c r="D6" s="98">
        <v>221333598.44</v>
      </c>
      <c r="E6" s="105">
        <f t="shared" ref="E6:E19" si="0">ROUND(C6/D6*100,2)</f>
        <v>0</v>
      </c>
      <c r="F6" s="68">
        <v>5</v>
      </c>
    </row>
    <row r="7" spans="1:6" ht="30">
      <c r="A7" s="69">
        <v>602</v>
      </c>
      <c r="B7" s="69" t="str">
        <f>'2.2. неис. БА в части местн.'!B7</f>
        <v>Комитет по управлению муниципальным имуществом города Ставрополя</v>
      </c>
      <c r="C7" s="106">
        <v>0</v>
      </c>
      <c r="D7" s="98">
        <v>83459641.019999996</v>
      </c>
      <c r="E7" s="105">
        <f t="shared" si="0"/>
        <v>0</v>
      </c>
      <c r="F7" s="68">
        <v>5</v>
      </c>
    </row>
    <row r="8" spans="1:6" ht="30">
      <c r="A8" s="69">
        <v>604</v>
      </c>
      <c r="B8" s="69" t="str">
        <f>'2.2. неис. БА в части местн.'!B8</f>
        <v>Комитет финансов и бюджета администрации города Ставрополя</v>
      </c>
      <c r="C8" s="74">
        <v>2781.29</v>
      </c>
      <c r="D8" s="98">
        <v>38975437.170000002</v>
      </c>
      <c r="E8" s="105">
        <f t="shared" si="0"/>
        <v>0.01</v>
      </c>
      <c r="F8" s="68">
        <v>5</v>
      </c>
    </row>
    <row r="9" spans="1:6" ht="30">
      <c r="A9" s="69">
        <v>605</v>
      </c>
      <c r="B9" s="69" t="s">
        <v>4</v>
      </c>
      <c r="C9" s="74">
        <v>156.99</v>
      </c>
      <c r="D9" s="98">
        <v>28733365.940000001</v>
      </c>
      <c r="E9" s="105">
        <f t="shared" si="0"/>
        <v>0</v>
      </c>
      <c r="F9" s="68">
        <v>5</v>
      </c>
    </row>
    <row r="10" spans="1:6" ht="30">
      <c r="A10" s="69">
        <v>606</v>
      </c>
      <c r="B10" s="69" t="str">
        <f>'2.2. неис. БА в части местн.'!B10</f>
        <v>Комитет образования администрации города Ставрополя</v>
      </c>
      <c r="C10" s="106">
        <v>4548905.16</v>
      </c>
      <c r="D10" s="98">
        <v>3143183337.0900002</v>
      </c>
      <c r="E10" s="105">
        <f t="shared" si="0"/>
        <v>0.14000000000000001</v>
      </c>
      <c r="F10" s="68">
        <v>5</v>
      </c>
    </row>
    <row r="11" spans="1:6" ht="30">
      <c r="A11" s="69">
        <v>607</v>
      </c>
      <c r="B11" s="69" t="str">
        <f>'2.2. неис. БА в части местн.'!B11</f>
        <v>Комитет культуры администрации города Ставрополя</v>
      </c>
      <c r="C11" s="74">
        <v>91646.26</v>
      </c>
      <c r="D11" s="98">
        <v>297945915.92000002</v>
      </c>
      <c r="E11" s="105">
        <f t="shared" si="0"/>
        <v>0.03</v>
      </c>
      <c r="F11" s="68">
        <v>5</v>
      </c>
    </row>
    <row r="12" spans="1:6" ht="45">
      <c r="A12" s="69">
        <v>609</v>
      </c>
      <c r="B12" s="69" t="str">
        <f>'2.2. неис. БА в части местн.'!B12</f>
        <v>Комитет труда и социальной защиты населения администрации города Ставрополя</v>
      </c>
      <c r="C12" s="106">
        <v>4000</v>
      </c>
      <c r="D12" s="98">
        <v>1785415760.6300001</v>
      </c>
      <c r="E12" s="105">
        <f t="shared" si="0"/>
        <v>0</v>
      </c>
      <c r="F12" s="68">
        <v>5</v>
      </c>
    </row>
    <row r="13" spans="1:6" ht="45">
      <c r="A13" s="69">
        <v>611</v>
      </c>
      <c r="B13" s="69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74">
        <v>17011.39</v>
      </c>
      <c r="D13" s="98">
        <v>202285000.29999998</v>
      </c>
      <c r="E13" s="105">
        <f t="shared" si="0"/>
        <v>0.01</v>
      </c>
      <c r="F13" s="68">
        <v>5</v>
      </c>
    </row>
    <row r="14" spans="1:6" ht="30">
      <c r="A14" s="69">
        <v>617</v>
      </c>
      <c r="B14" s="69" t="str">
        <f>'2.2. неис. БА в части местн.'!B14</f>
        <v>Администрация Ленинского района города Ставрополя</v>
      </c>
      <c r="C14" s="106">
        <v>0</v>
      </c>
      <c r="D14" s="98">
        <v>106398144.81</v>
      </c>
      <c r="E14" s="105">
        <f t="shared" si="0"/>
        <v>0</v>
      </c>
      <c r="F14" s="68">
        <v>5</v>
      </c>
    </row>
    <row r="15" spans="1:6" ht="30">
      <c r="A15" s="69">
        <v>618</v>
      </c>
      <c r="B15" s="69" t="str">
        <f>'2.2. неис. БА в части местн.'!B15</f>
        <v>Администрация Октябрьского района города Ставрополя</v>
      </c>
      <c r="C15" s="74">
        <v>0.6</v>
      </c>
      <c r="D15" s="98">
        <v>102928662.29000001</v>
      </c>
      <c r="E15" s="105">
        <f t="shared" si="0"/>
        <v>0</v>
      </c>
      <c r="F15" s="68">
        <v>5</v>
      </c>
    </row>
    <row r="16" spans="1:6" ht="30">
      <c r="A16" s="69">
        <v>619</v>
      </c>
      <c r="B16" s="69" t="str">
        <f>'2.2. неис. БА в части местн.'!B16</f>
        <v>Администрация Промышленного района города Ставрополя</v>
      </c>
      <c r="C16" s="74">
        <v>52600.52</v>
      </c>
      <c r="D16" s="98">
        <v>162127665.84999999</v>
      </c>
      <c r="E16" s="105">
        <f t="shared" si="0"/>
        <v>0.03</v>
      </c>
      <c r="F16" s="68">
        <v>5</v>
      </c>
    </row>
    <row r="17" spans="1:6" ht="30">
      <c r="A17" s="69">
        <v>620</v>
      </c>
      <c r="B17" s="69" t="str">
        <f>'2.2. неис. БА в части местн.'!B17</f>
        <v>Комитет городского хозяйства администрации города Ставрополя</v>
      </c>
      <c r="C17" s="106">
        <v>19198414.07</v>
      </c>
      <c r="D17" s="98">
        <v>1272709323.3299997</v>
      </c>
      <c r="E17" s="105">
        <f t="shared" si="0"/>
        <v>1.51</v>
      </c>
      <c r="F17" s="68">
        <v>3</v>
      </c>
    </row>
    <row r="18" spans="1:6" ht="30">
      <c r="A18" s="69">
        <v>621</v>
      </c>
      <c r="B18" s="69" t="str">
        <f>'2.2. неис. БА в части местн.'!B18</f>
        <v>Комитет градостроительства администрации города Ставрополя</v>
      </c>
      <c r="C18" s="74">
        <v>4276979.29</v>
      </c>
      <c r="D18" s="98">
        <v>167099780.91</v>
      </c>
      <c r="E18" s="105">
        <f t="shared" si="0"/>
        <v>2.56</v>
      </c>
      <c r="F18" s="68">
        <v>2</v>
      </c>
    </row>
    <row r="19" spans="1:6" ht="45">
      <c r="A19" s="92">
        <v>624</v>
      </c>
      <c r="B19" s="69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74">
        <v>2987.56</v>
      </c>
      <c r="D19" s="98">
        <v>97128996.289999992</v>
      </c>
      <c r="E19" s="105">
        <f t="shared" si="0"/>
        <v>0</v>
      </c>
      <c r="F19" s="68">
        <v>5</v>
      </c>
    </row>
    <row r="20" spans="1:6">
      <c r="C20" s="107">
        <f>SUM(C6:C19)</f>
        <v>28200216.259999998</v>
      </c>
      <c r="D20" s="93">
        <f>SUM(D6:D19)</f>
        <v>7709724629.9900017</v>
      </c>
    </row>
    <row r="22" spans="1:6">
      <c r="D22" s="104">
        <f>7714086265.13-2880530.84-1481104.3</f>
        <v>7709724629.9899998</v>
      </c>
    </row>
    <row r="23" spans="1:6">
      <c r="D23" s="93">
        <f>D20-D22</f>
        <v>0</v>
      </c>
    </row>
  </sheetData>
  <sheetProtection formatCells="0" formatColumns="0" formatRows="0" insertColumns="0" insertRows="0" insertHyperlinks="0" deleteColumns="0" deleteRows="0" sort="0" autoFilter="0" pivotTables="0"/>
  <sortState ref="A6:F23">
    <sortCondition ref="A6"/>
  </sortState>
  <mergeCells count="2">
    <mergeCell ref="A1:F1"/>
    <mergeCell ref="A2:F2"/>
  </mergeCells>
  <pageMargins left="0.35433070866141736" right="0.19685039370078741" top="0.74803149606299213" bottom="0.74803149606299213" header="0.31496062992125984" footer="0.31496062992125984"/>
  <pageSetup paperSize="9" scale="7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3">
    <tabColor rgb="FFFF66CC"/>
  </sheetPr>
  <dimension ref="A1:F23"/>
  <sheetViews>
    <sheetView view="pageBreakPreview" zoomScale="84" zoomScaleNormal="75" zoomScaleSheetLayoutView="84" workbookViewId="0">
      <selection activeCell="B3" sqref="B3"/>
    </sheetView>
  </sheetViews>
  <sheetFormatPr defaultColWidth="9.140625" defaultRowHeight="15"/>
  <cols>
    <col min="1" max="1" width="8.42578125" style="88" customWidth="1"/>
    <col min="2" max="2" width="41.140625" style="87" customWidth="1"/>
    <col min="3" max="3" width="20.28515625" style="87" customWidth="1"/>
    <col min="4" max="4" width="23.5703125" style="87" customWidth="1"/>
    <col min="5" max="5" width="19.5703125" style="87" customWidth="1"/>
    <col min="6" max="6" width="13.140625" style="87" customWidth="1"/>
    <col min="7" max="16384" width="9.140625" style="87"/>
  </cols>
  <sheetData>
    <row r="1" spans="1:6" s="86" customFormat="1" ht="20.25">
      <c r="A1" s="125" t="s">
        <v>17</v>
      </c>
      <c r="B1" s="125"/>
      <c r="C1" s="125"/>
      <c r="D1" s="125"/>
      <c r="E1" s="125"/>
      <c r="F1" s="125"/>
    </row>
    <row r="2" spans="1:6" ht="49.5" customHeight="1">
      <c r="A2" s="126" t="s">
        <v>114</v>
      </c>
      <c r="B2" s="126"/>
      <c r="C2" s="126"/>
      <c r="D2" s="126"/>
      <c r="E2" s="126"/>
      <c r="F2" s="126"/>
    </row>
    <row r="5" spans="1:6" ht="165">
      <c r="A5" s="77" t="s">
        <v>11</v>
      </c>
      <c r="B5" s="77" t="s">
        <v>12</v>
      </c>
      <c r="C5" s="77" t="s">
        <v>26</v>
      </c>
      <c r="D5" s="77" t="s">
        <v>24</v>
      </c>
      <c r="E5" s="77" t="s">
        <v>25</v>
      </c>
      <c r="F5" s="77" t="s">
        <v>15</v>
      </c>
    </row>
    <row r="6" spans="1:6">
      <c r="A6" s="90">
        <v>601</v>
      </c>
      <c r="B6" s="69" t="str">
        <f>'2.2. неис. БА в части местн.'!B6</f>
        <v>Администрация города Ставрополя</v>
      </c>
      <c r="C6" s="74">
        <v>-38035.910000000003</v>
      </c>
      <c r="D6" s="98">
        <v>221333598.44</v>
      </c>
      <c r="E6" s="105">
        <f t="shared" ref="E6:E19" si="0">ROUND(C6/D6*100,2)</f>
        <v>-0.02</v>
      </c>
      <c r="F6" s="68">
        <v>5</v>
      </c>
    </row>
    <row r="7" spans="1:6" ht="30">
      <c r="A7" s="69">
        <v>602</v>
      </c>
      <c r="B7" s="69" t="str">
        <f>'2.2. неис. БА в части местн.'!B7</f>
        <v>Комитет по управлению муниципальным имуществом города Ставрополя</v>
      </c>
      <c r="C7" s="74">
        <v>-123204.58</v>
      </c>
      <c r="D7" s="98">
        <v>83459641.019999996</v>
      </c>
      <c r="E7" s="105">
        <f t="shared" si="0"/>
        <v>-0.15</v>
      </c>
      <c r="F7" s="68">
        <v>5</v>
      </c>
    </row>
    <row r="8" spans="1:6" ht="30">
      <c r="A8" s="69">
        <v>604</v>
      </c>
      <c r="B8" s="69" t="str">
        <f>'2.2. неис. БА в части местн.'!B8</f>
        <v>Комитет финансов и бюджета администрации города Ставрополя</v>
      </c>
      <c r="C8" s="74">
        <v>-31411.09</v>
      </c>
      <c r="D8" s="98">
        <v>38975437.170000002</v>
      </c>
      <c r="E8" s="105">
        <f t="shared" si="0"/>
        <v>-0.08</v>
      </c>
      <c r="F8" s="68">
        <v>5</v>
      </c>
    </row>
    <row r="9" spans="1:6" ht="30">
      <c r="A9" s="69">
        <v>605</v>
      </c>
      <c r="B9" s="69" t="s">
        <v>4</v>
      </c>
      <c r="C9" s="74">
        <v>-111725.08</v>
      </c>
      <c r="D9" s="98">
        <v>28733365.940000001</v>
      </c>
      <c r="E9" s="105">
        <f t="shared" si="0"/>
        <v>-0.39</v>
      </c>
      <c r="F9" s="68">
        <v>5</v>
      </c>
    </row>
    <row r="10" spans="1:6" ht="30">
      <c r="A10" s="69">
        <v>606</v>
      </c>
      <c r="B10" s="69" t="str">
        <f>'2.2. неис. БА в части местн.'!B10</f>
        <v>Комитет образования администрации города Ставрополя</v>
      </c>
      <c r="C10" s="74">
        <v>-35943.94</v>
      </c>
      <c r="D10" s="98">
        <v>3143183337.0900002</v>
      </c>
      <c r="E10" s="105">
        <f t="shared" si="0"/>
        <v>0</v>
      </c>
      <c r="F10" s="68">
        <v>5</v>
      </c>
    </row>
    <row r="11" spans="1:6" ht="30">
      <c r="A11" s="69">
        <v>607</v>
      </c>
      <c r="B11" s="69" t="str">
        <f>'2.2. неис. БА в части местн.'!B11</f>
        <v>Комитет культуры администрации города Ставрополя</v>
      </c>
      <c r="C11" s="74">
        <v>22669</v>
      </c>
      <c r="D11" s="98">
        <v>297945915.92000002</v>
      </c>
      <c r="E11" s="105">
        <f t="shared" si="0"/>
        <v>0.01</v>
      </c>
      <c r="F11" s="68">
        <v>5</v>
      </c>
    </row>
    <row r="12" spans="1:6" ht="45">
      <c r="A12" s="69">
        <v>609</v>
      </c>
      <c r="B12" s="69" t="str">
        <f>'2.2. неис. БА в части местн.'!B12</f>
        <v>Комитет труда и социальной защиты населения администрации города Ставрополя</v>
      </c>
      <c r="C12" s="74">
        <v>-157.24</v>
      </c>
      <c r="D12" s="98">
        <v>1785415760.6300001</v>
      </c>
      <c r="E12" s="105">
        <f t="shared" si="0"/>
        <v>0</v>
      </c>
      <c r="F12" s="68">
        <v>5</v>
      </c>
    </row>
    <row r="13" spans="1:6" ht="45">
      <c r="A13" s="69">
        <v>611</v>
      </c>
      <c r="B13" s="69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74">
        <v>-18410.41</v>
      </c>
      <c r="D13" s="98">
        <v>202285000.29999998</v>
      </c>
      <c r="E13" s="105">
        <f t="shared" si="0"/>
        <v>-0.01</v>
      </c>
      <c r="F13" s="68">
        <v>5</v>
      </c>
    </row>
    <row r="14" spans="1:6" ht="30">
      <c r="A14" s="69">
        <v>617</v>
      </c>
      <c r="B14" s="69" t="str">
        <f>'2.2. неис. БА в части местн.'!B14</f>
        <v>Администрация Ленинского района города Ставрополя</v>
      </c>
      <c r="C14" s="74">
        <v>0</v>
      </c>
      <c r="D14" s="98">
        <v>106398144.81</v>
      </c>
      <c r="E14" s="105">
        <f t="shared" si="0"/>
        <v>0</v>
      </c>
      <c r="F14" s="68">
        <v>5</v>
      </c>
    </row>
    <row r="15" spans="1:6" ht="30">
      <c r="A15" s="69">
        <v>618</v>
      </c>
      <c r="B15" s="69" t="str">
        <f>'2.2. неис. БА в части местн.'!B15</f>
        <v>Администрация Октябрьского района города Ставрополя</v>
      </c>
      <c r="C15" s="74">
        <v>-57169.47</v>
      </c>
      <c r="D15" s="98">
        <v>102928662.29000001</v>
      </c>
      <c r="E15" s="105">
        <f t="shared" si="0"/>
        <v>-0.06</v>
      </c>
      <c r="F15" s="68">
        <v>5</v>
      </c>
    </row>
    <row r="16" spans="1:6" ht="30">
      <c r="A16" s="69">
        <v>619</v>
      </c>
      <c r="B16" s="69" t="str">
        <f>'2.2. неис. БА в части местн.'!B16</f>
        <v>Администрация Промышленного района города Ставрополя</v>
      </c>
      <c r="C16" s="74">
        <v>-70835.37</v>
      </c>
      <c r="D16" s="98">
        <v>162127665.84999999</v>
      </c>
      <c r="E16" s="105">
        <f t="shared" si="0"/>
        <v>-0.04</v>
      </c>
      <c r="F16" s="68">
        <v>5</v>
      </c>
    </row>
    <row r="17" spans="1:6" ht="30">
      <c r="A17" s="69">
        <v>620</v>
      </c>
      <c r="B17" s="69" t="str">
        <f>'2.2. неис. БА в части местн.'!B17</f>
        <v>Комитет городского хозяйства администрации города Ставрополя</v>
      </c>
      <c r="C17" s="74">
        <v>-73756.039999999994</v>
      </c>
      <c r="D17" s="98">
        <v>1272709323.3299997</v>
      </c>
      <c r="E17" s="105">
        <f t="shared" si="0"/>
        <v>-0.01</v>
      </c>
      <c r="F17" s="68">
        <v>5</v>
      </c>
    </row>
    <row r="18" spans="1:6" ht="30">
      <c r="A18" s="69">
        <v>621</v>
      </c>
      <c r="B18" s="69" t="str">
        <f>'2.2. неис. БА в части местн.'!B18</f>
        <v>Комитет градостроительства администрации города Ставрополя</v>
      </c>
      <c r="C18" s="74">
        <v>-195032.58</v>
      </c>
      <c r="D18" s="98">
        <v>167099780.91</v>
      </c>
      <c r="E18" s="105">
        <f t="shared" si="0"/>
        <v>-0.12</v>
      </c>
      <c r="F18" s="68">
        <v>5</v>
      </c>
    </row>
    <row r="19" spans="1:6" ht="45">
      <c r="A19" s="92">
        <v>624</v>
      </c>
      <c r="B19" s="69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74">
        <v>-69376.69</v>
      </c>
      <c r="D19" s="98">
        <v>97128996.289999992</v>
      </c>
      <c r="E19" s="105">
        <f t="shared" si="0"/>
        <v>-7.0000000000000007E-2</v>
      </c>
      <c r="F19" s="68">
        <v>5</v>
      </c>
    </row>
    <row r="20" spans="1:6">
      <c r="C20" s="107">
        <f>SUM(C6:C19)</f>
        <v>-802389.39999999991</v>
      </c>
      <c r="D20" s="93">
        <f>SUM(D6:D19)</f>
        <v>7709724629.9900017</v>
      </c>
    </row>
    <row r="22" spans="1:6">
      <c r="D22" s="104">
        <f>7714086265.13-2880530.84-1481104.3</f>
        <v>7709724629.9899998</v>
      </c>
    </row>
    <row r="23" spans="1:6">
      <c r="D23" s="93">
        <f>D20-D22</f>
        <v>0</v>
      </c>
    </row>
  </sheetData>
  <sheetProtection formatCells="0" formatColumns="0" formatRows="0" insertColumns="0" insertRows="0" insertHyperlinks="0" deleteColumns="0" deleteRows="0" sort="0" autoFilter="0" pivotTables="0"/>
  <sortState ref="A6:F23">
    <sortCondition ref="A6"/>
  </sortState>
  <mergeCells count="2">
    <mergeCell ref="A1:F1"/>
    <mergeCell ref="A2:F2"/>
  </mergeCells>
  <pageMargins left="0.35433070866141736" right="0.19685039370078741" top="0.74803149606299213" bottom="0.74803149606299213" header="0.31496062992125984" footer="0.31496062992125984"/>
  <pageSetup paperSize="9" scale="7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4">
    <tabColor rgb="FF99FF99"/>
  </sheetPr>
  <dimension ref="A1:F23"/>
  <sheetViews>
    <sheetView view="pageBreakPreview" topLeftCell="A7" zoomScale="84" zoomScaleNormal="75" zoomScaleSheetLayoutView="84" workbookViewId="0">
      <selection activeCell="B5" sqref="B5"/>
    </sheetView>
  </sheetViews>
  <sheetFormatPr defaultColWidth="9.140625" defaultRowHeight="15"/>
  <cols>
    <col min="1" max="1" width="8.42578125" style="88" customWidth="1"/>
    <col min="2" max="2" width="41.140625" style="87" customWidth="1"/>
    <col min="3" max="3" width="20.28515625" style="87" customWidth="1"/>
    <col min="4" max="4" width="23.5703125" style="87" customWidth="1"/>
    <col min="5" max="5" width="21.5703125" style="87" customWidth="1"/>
    <col min="6" max="6" width="13.140625" style="87" customWidth="1"/>
    <col min="7" max="16384" width="9.140625" style="87"/>
  </cols>
  <sheetData>
    <row r="1" spans="1:6" s="86" customFormat="1" ht="20.25">
      <c r="A1" s="125" t="s">
        <v>17</v>
      </c>
      <c r="B1" s="125"/>
      <c r="C1" s="125"/>
      <c r="D1" s="125"/>
      <c r="E1" s="125"/>
      <c r="F1" s="125"/>
    </row>
    <row r="2" spans="1:6" ht="64.900000000000006" customHeight="1">
      <c r="A2" s="126" t="s">
        <v>115</v>
      </c>
      <c r="B2" s="126"/>
      <c r="C2" s="126"/>
      <c r="D2" s="126"/>
      <c r="E2" s="126"/>
      <c r="F2" s="126"/>
    </row>
    <row r="3" spans="1:6">
      <c r="D3" s="88"/>
    </row>
    <row r="4" spans="1:6">
      <c r="F4" s="89" t="s">
        <v>150</v>
      </c>
    </row>
    <row r="5" spans="1:6" ht="210">
      <c r="A5" s="77" t="s">
        <v>11</v>
      </c>
      <c r="B5" s="77" t="s">
        <v>12</v>
      </c>
      <c r="C5" s="77" t="s">
        <v>27</v>
      </c>
      <c r="D5" s="77" t="s">
        <v>28</v>
      </c>
      <c r="E5" s="77" t="s">
        <v>40</v>
      </c>
      <c r="F5" s="77" t="s">
        <v>15</v>
      </c>
    </row>
    <row r="6" spans="1:6">
      <c r="A6" s="90">
        <v>601</v>
      </c>
      <c r="B6" s="69" t="str">
        <f>'2.2. неис. БА в части местн.'!B6</f>
        <v>Администрация города Ставрополя</v>
      </c>
      <c r="C6" s="98">
        <v>78816989.99000001</v>
      </c>
      <c r="D6" s="91">
        <v>79043299.459999993</v>
      </c>
      <c r="E6" s="68">
        <f t="shared" ref="E6:E19" si="0">ROUND(C6/D6*100,2)</f>
        <v>99.71</v>
      </c>
      <c r="F6" s="68">
        <v>4</v>
      </c>
    </row>
    <row r="7" spans="1:6" ht="30">
      <c r="A7" s="69">
        <v>602</v>
      </c>
      <c r="B7" s="69" t="str">
        <f>'2.2. неис. БА в части местн.'!B7</f>
        <v>Комитет по управлению муниципальным имуществом города Ставрополя</v>
      </c>
      <c r="C7" s="98">
        <v>25901469.260000002</v>
      </c>
      <c r="D7" s="91">
        <v>26439235.600000001</v>
      </c>
      <c r="E7" s="68">
        <f t="shared" si="0"/>
        <v>97.97</v>
      </c>
      <c r="F7" s="68">
        <v>4</v>
      </c>
    </row>
    <row r="8" spans="1:6" ht="30">
      <c r="A8" s="69">
        <v>604</v>
      </c>
      <c r="B8" s="69" t="str">
        <f>'2.2. неис. БА в части местн.'!B8</f>
        <v>Комитет финансов и бюджета администрации города Ставрополя</v>
      </c>
      <c r="C8" s="98">
        <v>6442369.4500000002</v>
      </c>
      <c r="D8" s="91">
        <v>7203461.29</v>
      </c>
      <c r="E8" s="68">
        <f t="shared" si="0"/>
        <v>89.43</v>
      </c>
      <c r="F8" s="68">
        <v>3</v>
      </c>
    </row>
    <row r="9" spans="1:6" ht="30">
      <c r="A9" s="69">
        <v>605</v>
      </c>
      <c r="B9" s="69" t="s">
        <v>4</v>
      </c>
      <c r="C9" s="98">
        <v>4277929.3</v>
      </c>
      <c r="D9" s="91">
        <v>4277990.3</v>
      </c>
      <c r="E9" s="68">
        <f t="shared" si="0"/>
        <v>100</v>
      </c>
      <c r="F9" s="68">
        <v>5</v>
      </c>
    </row>
    <row r="10" spans="1:6" ht="30">
      <c r="A10" s="69">
        <v>606</v>
      </c>
      <c r="B10" s="69" t="str">
        <f>'2.2. неис. БА в части местн.'!B10</f>
        <v>Комитет образования администрации города Ставрополя</v>
      </c>
      <c r="C10" s="98">
        <v>3112277780.3600001</v>
      </c>
      <c r="D10" s="91">
        <v>3122876712.1999998</v>
      </c>
      <c r="E10" s="68">
        <f t="shared" si="0"/>
        <v>99.66</v>
      </c>
      <c r="F10" s="68">
        <v>4</v>
      </c>
    </row>
    <row r="11" spans="1:6" ht="30">
      <c r="A11" s="69">
        <v>607</v>
      </c>
      <c r="B11" s="69" t="str">
        <f>'2.2. неис. БА в части местн.'!B11</f>
        <v>Комитет культуры администрации города Ставрополя</v>
      </c>
      <c r="C11" s="98">
        <v>286632503.14999998</v>
      </c>
      <c r="D11" s="91">
        <v>286632503.27999997</v>
      </c>
      <c r="E11" s="68">
        <f t="shared" si="0"/>
        <v>100</v>
      </c>
      <c r="F11" s="68">
        <v>5</v>
      </c>
    </row>
    <row r="12" spans="1:6" ht="31.5" customHeight="1">
      <c r="A12" s="69">
        <v>609</v>
      </c>
      <c r="B12" s="69" t="str">
        <f>'2.2. неис. БА в части местн.'!B11</f>
        <v>Комитет культуры администрации города Ставрополя</v>
      </c>
      <c r="C12" s="98">
        <v>1728347336.98</v>
      </c>
      <c r="D12" s="91">
        <v>1729169018.49</v>
      </c>
      <c r="E12" s="68">
        <f t="shared" si="0"/>
        <v>99.95</v>
      </c>
      <c r="F12" s="68">
        <v>4</v>
      </c>
    </row>
    <row r="13" spans="1:6" ht="36" customHeight="1">
      <c r="A13" s="69">
        <v>611</v>
      </c>
      <c r="B13" s="69" t="str">
        <f>'2.2. неис. БА в части местн.'!B12</f>
        <v>Комитет труда и социальной защиты населения администрации города Ставрополя</v>
      </c>
      <c r="C13" s="98">
        <v>190935738.29999998</v>
      </c>
      <c r="D13" s="91">
        <v>192489475.83000001</v>
      </c>
      <c r="E13" s="68">
        <f t="shared" si="0"/>
        <v>99.19</v>
      </c>
      <c r="F13" s="68">
        <v>4</v>
      </c>
    </row>
    <row r="14" spans="1:6" ht="45">
      <c r="A14" s="69">
        <v>617</v>
      </c>
      <c r="B14" s="69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4" s="98">
        <v>78235744.650000006</v>
      </c>
      <c r="D14" s="91">
        <v>83875502.849999994</v>
      </c>
      <c r="E14" s="68">
        <f t="shared" si="0"/>
        <v>93.28</v>
      </c>
      <c r="F14" s="68">
        <v>4</v>
      </c>
    </row>
    <row r="15" spans="1:6" ht="30">
      <c r="A15" s="69">
        <v>618</v>
      </c>
      <c r="B15" s="69" t="str">
        <f>'2.2. неис. БА в части местн.'!B14</f>
        <v>Администрация Ленинского района города Ставрополя</v>
      </c>
      <c r="C15" s="98">
        <v>75802559.239999995</v>
      </c>
      <c r="D15" s="91">
        <v>75802559.840000004</v>
      </c>
      <c r="E15" s="68">
        <f t="shared" si="0"/>
        <v>100</v>
      </c>
      <c r="F15" s="68">
        <v>5</v>
      </c>
    </row>
    <row r="16" spans="1:6" ht="30">
      <c r="A16" s="69">
        <v>619</v>
      </c>
      <c r="B16" s="69" t="str">
        <f>'2.2. неис. БА в части местн.'!B15</f>
        <v>Администрация Октябрьского района города Ставрополя</v>
      </c>
      <c r="C16" s="98">
        <v>123246187.8</v>
      </c>
      <c r="D16" s="91">
        <v>123306181.12</v>
      </c>
      <c r="E16" s="68">
        <f t="shared" si="0"/>
        <v>99.95</v>
      </c>
      <c r="F16" s="68">
        <v>4</v>
      </c>
    </row>
    <row r="17" spans="1:6" ht="30">
      <c r="A17" s="69">
        <v>620</v>
      </c>
      <c r="B17" s="69" t="str">
        <f>'2.2. неис. БА в части местн.'!B16</f>
        <v>Администрация Промышленного района города Ставрополя</v>
      </c>
      <c r="C17" s="98">
        <v>871419351.66999996</v>
      </c>
      <c r="D17" s="91">
        <v>1007339914.35</v>
      </c>
      <c r="E17" s="68">
        <f t="shared" si="0"/>
        <v>86.51</v>
      </c>
      <c r="F17" s="68">
        <v>3</v>
      </c>
    </row>
    <row r="18" spans="1:6" ht="30">
      <c r="A18" s="69">
        <v>621</v>
      </c>
      <c r="B18" s="69" t="str">
        <f>'2.2. неис. БА в части местн.'!B17</f>
        <v>Комитет городского хозяйства администрации города Ставрополя</v>
      </c>
      <c r="C18" s="98">
        <v>99189089.840000004</v>
      </c>
      <c r="D18" s="91">
        <v>503924372.27999997</v>
      </c>
      <c r="E18" s="68">
        <f t="shared" si="0"/>
        <v>19.68</v>
      </c>
      <c r="F18" s="68">
        <v>0</v>
      </c>
    </row>
    <row r="19" spans="1:6" ht="45">
      <c r="A19" s="92">
        <v>624</v>
      </c>
      <c r="B19" s="69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98">
        <v>84003730.090000004</v>
      </c>
      <c r="D19" s="91">
        <v>84006717.650000006</v>
      </c>
      <c r="E19" s="68">
        <f t="shared" si="0"/>
        <v>100</v>
      </c>
      <c r="F19" s="68">
        <v>5</v>
      </c>
    </row>
    <row r="20" spans="1:6">
      <c r="B20" s="69"/>
      <c r="C20" s="93">
        <f>SUM(C6:C19)</f>
        <v>6765528780.0799999</v>
      </c>
      <c r="D20" s="93">
        <f>SUM(D6:D19)</f>
        <v>7326386944.54</v>
      </c>
    </row>
    <row r="22" spans="1:6">
      <c r="C22" s="87">
        <v>6765528780.0799999</v>
      </c>
      <c r="D22" s="87">
        <v>7326386944.54</v>
      </c>
    </row>
    <row r="23" spans="1:6">
      <c r="C23" s="93">
        <f>C20-C22</f>
        <v>0</v>
      </c>
      <c r="D23" s="93">
        <f>D20-D22</f>
        <v>0</v>
      </c>
    </row>
  </sheetData>
  <sheetProtection formatCells="0" formatColumns="0" formatRows="0" insertColumns="0" insertRows="0" insertHyperlinks="0" deleteColumns="0" deleteRows="0" sort="0" autoFilter="0" pivotTables="0"/>
  <sortState ref="A6:F23">
    <sortCondition ref="A6"/>
  </sortState>
  <mergeCells count="2">
    <mergeCell ref="A1:F1"/>
    <mergeCell ref="A2:F2"/>
  </mergeCells>
  <pageMargins left="0.35433070866141736" right="0.19685039370078741" top="0.74803149606299213" bottom="0.74803149606299213" header="0.31496062992125984" footer="0.31496062992125984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>
    <tabColor rgb="FF9743DD"/>
  </sheetPr>
  <dimension ref="A1:L20"/>
  <sheetViews>
    <sheetView view="pageBreakPreview" zoomScale="84" zoomScaleNormal="75" zoomScaleSheetLayoutView="84" workbookViewId="0">
      <selection activeCell="F9" sqref="F9"/>
    </sheetView>
  </sheetViews>
  <sheetFormatPr defaultColWidth="9.140625" defaultRowHeight="15"/>
  <cols>
    <col min="1" max="1" width="8.42578125" style="7" customWidth="1"/>
    <col min="2" max="2" width="41.140625" style="5" customWidth="1"/>
    <col min="3" max="3" width="24.85546875" style="5" customWidth="1"/>
    <col min="4" max="4" width="22.85546875" style="5" customWidth="1"/>
    <col min="5" max="5" width="22" style="5" customWidth="1"/>
    <col min="6" max="6" width="13.140625" style="5" customWidth="1"/>
    <col min="7" max="11" width="9.140625" style="5"/>
    <col min="12" max="12" width="11.85546875" style="5" bestFit="1" customWidth="1"/>
    <col min="13" max="16384" width="9.140625" style="5"/>
  </cols>
  <sheetData>
    <row r="1" spans="1:12" s="8" customFormat="1" ht="20.25">
      <c r="A1" s="116" t="s">
        <v>29</v>
      </c>
      <c r="B1" s="116"/>
      <c r="C1" s="116"/>
      <c r="D1" s="116"/>
      <c r="E1" s="116"/>
      <c r="F1" s="116"/>
    </row>
    <row r="2" spans="1:12" ht="61.5" customHeight="1">
      <c r="A2" s="117" t="s">
        <v>30</v>
      </c>
      <c r="B2" s="117"/>
      <c r="C2" s="117"/>
      <c r="D2" s="117"/>
      <c r="E2" s="117"/>
      <c r="F2" s="117"/>
    </row>
    <row r="3" spans="1:12" ht="30">
      <c r="D3" s="7" t="s">
        <v>33</v>
      </c>
    </row>
    <row r="5" spans="1:12" ht="99.75" customHeight="1">
      <c r="A5" s="4" t="s">
        <v>11</v>
      </c>
      <c r="B5" s="4" t="s">
        <v>12</v>
      </c>
      <c r="C5" s="4" t="s">
        <v>31</v>
      </c>
      <c r="D5" s="4" t="s">
        <v>32</v>
      </c>
      <c r="E5" s="4" t="s">
        <v>34</v>
      </c>
      <c r="F5" s="4" t="s">
        <v>15</v>
      </c>
    </row>
    <row r="6" spans="1:12">
      <c r="A6" s="2">
        <v>601</v>
      </c>
      <c r="B6" s="1" t="str">
        <f>'2.2. неис. БА в части местн.'!B6</f>
        <v>Администрация города Ставрополя</v>
      </c>
      <c r="C6" s="11">
        <v>3967157.35</v>
      </c>
      <c r="D6" s="11">
        <v>3751925.34</v>
      </c>
      <c r="E6" s="68">
        <f>ROUND(100*(C6/D6-1),2)</f>
        <v>5.74</v>
      </c>
      <c r="F6" s="19">
        <v>5</v>
      </c>
      <c r="G6" s="5">
        <f t="shared" ref="G6" si="0">C6/D6*100</f>
        <v>105.73657497139857</v>
      </c>
    </row>
    <row r="7" spans="1:12" ht="30">
      <c r="A7" s="1">
        <v>602</v>
      </c>
      <c r="B7" s="1" t="str">
        <f>'2.2. неис. БА в части местн.'!B7</f>
        <v>Комитет по управлению муниципальным имуществом города Ставрополя</v>
      </c>
      <c r="C7" s="11">
        <v>827546761.63999999</v>
      </c>
      <c r="D7" s="11">
        <v>819970814.12</v>
      </c>
      <c r="E7" s="68">
        <f t="shared" ref="E7:E11" si="1">ROUND(100*(C7/D7-1),2)</f>
        <v>0.92</v>
      </c>
      <c r="F7" s="19">
        <v>5</v>
      </c>
      <c r="G7" s="5">
        <f t="shared" ref="G7:G19" si="2">C7/D7*100</f>
        <v>100.92392892399842</v>
      </c>
    </row>
    <row r="8" spans="1:12" ht="30">
      <c r="A8" s="69">
        <v>604</v>
      </c>
      <c r="B8" s="1" t="str">
        <f>'2.2. неис. БА в части местн.'!B8</f>
        <v>Комитет финансов и бюджета администрации города Ставрополя</v>
      </c>
      <c r="C8" s="74">
        <v>20797089.73</v>
      </c>
      <c r="D8" s="74">
        <v>20790830</v>
      </c>
      <c r="E8" s="68">
        <f t="shared" si="1"/>
        <v>0.03</v>
      </c>
      <c r="F8" s="19">
        <v>5</v>
      </c>
      <c r="G8" s="5">
        <f t="shared" si="2"/>
        <v>100.03010812940127</v>
      </c>
      <c r="H8" s="61"/>
      <c r="L8" s="60"/>
    </row>
    <row r="9" spans="1:12" ht="30">
      <c r="A9" s="69">
        <v>605</v>
      </c>
      <c r="B9" s="1" t="s">
        <v>4</v>
      </c>
      <c r="C9" s="74">
        <v>4455025.2699999996</v>
      </c>
      <c r="D9" s="74">
        <v>2600000</v>
      </c>
      <c r="E9" s="68">
        <f t="shared" si="1"/>
        <v>71.349999999999994</v>
      </c>
      <c r="F9" s="19">
        <v>0</v>
      </c>
      <c r="G9" s="5">
        <f t="shared" si="2"/>
        <v>171.34712576923076</v>
      </c>
    </row>
    <row r="10" spans="1:12" ht="30">
      <c r="A10" s="69">
        <v>606</v>
      </c>
      <c r="B10" s="1" t="str">
        <f>'2.2. неис. БА в части местн.'!B10</f>
        <v>Комитет образования администрации города Ставрополя</v>
      </c>
      <c r="C10" s="74">
        <v>1742021460.6400001</v>
      </c>
      <c r="D10" s="74">
        <v>1741778307.5599999</v>
      </c>
      <c r="E10" s="68">
        <f t="shared" si="1"/>
        <v>0.01</v>
      </c>
      <c r="F10" s="19">
        <v>5</v>
      </c>
      <c r="G10" s="5">
        <f t="shared" si="2"/>
        <v>100.01396004755283</v>
      </c>
    </row>
    <row r="11" spans="1:12" ht="30">
      <c r="A11" s="69">
        <v>607</v>
      </c>
      <c r="B11" s="1" t="str">
        <f>'2.2. неис. БА в части местн.'!B11</f>
        <v>Комитет культуры администрации города Ставрополя</v>
      </c>
      <c r="C11" s="74">
        <v>8689198.4900000002</v>
      </c>
      <c r="D11" s="74">
        <v>8447916.0600000005</v>
      </c>
      <c r="E11" s="68">
        <f t="shared" si="1"/>
        <v>2.86</v>
      </c>
      <c r="F11" s="19">
        <v>5</v>
      </c>
      <c r="G11" s="5">
        <f t="shared" si="2"/>
        <v>102.85611774887829</v>
      </c>
    </row>
    <row r="12" spans="1:12" ht="45">
      <c r="A12" s="69">
        <v>609</v>
      </c>
      <c r="B12" s="1" t="str">
        <f>'2.2. неис. БА в части местн.'!B12</f>
        <v>Комитет труда и социальной защиты населения администрации города Ставрополя</v>
      </c>
      <c r="C12" s="74">
        <v>1700623742.8199999</v>
      </c>
      <c r="D12" s="74">
        <v>1701345907.0699999</v>
      </c>
      <c r="E12" s="68">
        <f>ROUND(100*(1-C12/D12),2)</f>
        <v>0.04</v>
      </c>
      <c r="F12" s="19">
        <v>5</v>
      </c>
      <c r="G12" s="5">
        <f t="shared" si="2"/>
        <v>99.957553355434712</v>
      </c>
    </row>
    <row r="13" spans="1:12" ht="45">
      <c r="A13" s="69">
        <v>611</v>
      </c>
      <c r="B13" s="1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74">
        <v>1317890</v>
      </c>
      <c r="D13" s="74">
        <v>1317890</v>
      </c>
      <c r="E13" s="68">
        <f>ROUND(100*(1-C13/D13),2)</f>
        <v>0</v>
      </c>
      <c r="F13" s="19">
        <v>5</v>
      </c>
      <c r="G13" s="5">
        <f t="shared" si="2"/>
        <v>100</v>
      </c>
    </row>
    <row r="14" spans="1:12" ht="30">
      <c r="A14" s="69">
        <v>617</v>
      </c>
      <c r="B14" s="1" t="str">
        <f>'2.2. неис. БА в части местн.'!B14</f>
        <v>Администрация Ленинского района города Ставрополя</v>
      </c>
      <c r="C14" s="74">
        <v>10938472.279999999</v>
      </c>
      <c r="D14" s="74">
        <v>10789567.939999999</v>
      </c>
      <c r="E14" s="68">
        <f>ROUND(100*(C14/D14-1),2)</f>
        <v>1.38</v>
      </c>
      <c r="F14" s="19">
        <v>5</v>
      </c>
      <c r="G14" s="5">
        <f t="shared" si="2"/>
        <v>101.38007694866047</v>
      </c>
    </row>
    <row r="15" spans="1:12" ht="30">
      <c r="A15" s="1">
        <v>618</v>
      </c>
      <c r="B15" s="1" t="str">
        <f>'2.2. неис. БА в части местн.'!B15</f>
        <v>Администрация Октябрьского района города Ставрополя</v>
      </c>
      <c r="C15" s="11">
        <v>9653631.5899999999</v>
      </c>
      <c r="D15" s="11">
        <v>9381427.2200000007</v>
      </c>
      <c r="E15" s="68">
        <f t="shared" ref="E15:E16" si="3">ROUND(100*(C15/D15-1),2)</f>
        <v>2.9</v>
      </c>
      <c r="F15" s="19">
        <v>5</v>
      </c>
      <c r="G15" s="5">
        <f t="shared" si="2"/>
        <v>102.90152408174839</v>
      </c>
    </row>
    <row r="16" spans="1:12" ht="30">
      <c r="A16" s="1">
        <v>619</v>
      </c>
      <c r="B16" s="1" t="str">
        <f>'2.2. неис. БА в части местн.'!B16</f>
        <v>Администрация Промышленного района города Ставрополя</v>
      </c>
      <c r="C16" s="11">
        <v>5552730.5899999999</v>
      </c>
      <c r="D16" s="11">
        <v>4372389.26</v>
      </c>
      <c r="E16" s="68">
        <f t="shared" si="3"/>
        <v>27</v>
      </c>
      <c r="F16" s="19">
        <v>1</v>
      </c>
      <c r="G16" s="5">
        <f t="shared" si="2"/>
        <v>126.9953396143874</v>
      </c>
    </row>
    <row r="17" spans="1:7" ht="30">
      <c r="A17" s="1">
        <v>620</v>
      </c>
      <c r="B17" s="1" t="str">
        <f>'2.2. неис. БА в части местн.'!B17</f>
        <v>Комитет городского хозяйства администрации города Ставрополя</v>
      </c>
      <c r="C17" s="11">
        <v>369404435.47000003</v>
      </c>
      <c r="D17" s="11">
        <v>405500992.51999998</v>
      </c>
      <c r="E17" s="68">
        <f>ROUND(100*(1-C17/D17),2)</f>
        <v>8.9</v>
      </c>
      <c r="F17" s="19">
        <v>5</v>
      </c>
      <c r="G17" s="5">
        <f t="shared" si="2"/>
        <v>91.098281455323544</v>
      </c>
    </row>
    <row r="18" spans="1:7" ht="30">
      <c r="A18" s="1">
        <v>621</v>
      </c>
      <c r="B18" s="1" t="str">
        <f>'2.2. неис. БА в части местн.'!B18</f>
        <v>Комитет градостроительства администрации города Ставрополя</v>
      </c>
      <c r="C18" s="11">
        <v>383720440.63999999</v>
      </c>
      <c r="D18" s="11">
        <v>386096546.06</v>
      </c>
      <c r="E18" s="68">
        <f>ROUND(100*(1-C18/D18),2)</f>
        <v>0.62</v>
      </c>
      <c r="F18" s="19">
        <v>5</v>
      </c>
      <c r="G18" s="5">
        <f t="shared" si="2"/>
        <v>99.384582575460087</v>
      </c>
    </row>
    <row r="19" spans="1:7" ht="45">
      <c r="A19" s="3">
        <v>624</v>
      </c>
      <c r="B19" s="1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11">
        <v>1960877.08</v>
      </c>
      <c r="D19" s="11">
        <v>1600560</v>
      </c>
      <c r="E19" s="68">
        <f t="shared" ref="E19" si="4">ROUND(100*(C19/D19-1),2)</f>
        <v>22.51</v>
      </c>
      <c r="F19" s="19">
        <v>2</v>
      </c>
      <c r="G19" s="5">
        <f t="shared" si="2"/>
        <v>122.51193832158745</v>
      </c>
    </row>
    <row r="20" spans="1:7">
      <c r="C20" s="60">
        <f>SUM(C6:C19)</f>
        <v>5090648913.5900002</v>
      </c>
      <c r="D20" s="60">
        <f>SUM(D6:D19)</f>
        <v>5117745073.1500006</v>
      </c>
    </row>
  </sheetData>
  <sortState ref="A7:H23">
    <sortCondition ref="A6"/>
  </sortState>
  <mergeCells count="2">
    <mergeCell ref="A1:F1"/>
    <mergeCell ref="A2:F2"/>
  </mergeCells>
  <pageMargins left="0.35433070866141736" right="0.19685039370078741" top="0.74803149606299213" bottom="0.74803149606299213" header="0.31496062992125984" footer="0.31496062992125984"/>
  <pageSetup paperSize="9" scale="7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6">
    <tabColor rgb="FFFFFF66"/>
  </sheetPr>
  <dimension ref="A1:H20"/>
  <sheetViews>
    <sheetView view="pageBreakPreview" zoomScale="84" zoomScaleNormal="75" zoomScaleSheetLayoutView="84" workbookViewId="0">
      <selection activeCell="E12" sqref="E12"/>
    </sheetView>
  </sheetViews>
  <sheetFormatPr defaultColWidth="9.140625" defaultRowHeight="15"/>
  <cols>
    <col min="1" max="1" width="8.42578125" style="7" customWidth="1"/>
    <col min="2" max="2" width="41.140625" style="5" customWidth="1"/>
    <col min="3" max="3" width="24.85546875" style="5" customWidth="1"/>
    <col min="4" max="4" width="22.85546875" style="5" customWidth="1"/>
    <col min="5" max="5" width="22" style="5" customWidth="1"/>
    <col min="6" max="6" width="13.140625" style="5" customWidth="1"/>
    <col min="7" max="16384" width="9.140625" style="5"/>
  </cols>
  <sheetData>
    <row r="1" spans="1:7" s="8" customFormat="1" ht="20.45" customHeight="1">
      <c r="A1" s="116" t="s">
        <v>29</v>
      </c>
      <c r="B1" s="116"/>
      <c r="C1" s="116"/>
      <c r="D1" s="116"/>
      <c r="E1" s="116"/>
      <c r="F1" s="116"/>
    </row>
    <row r="2" spans="1:7" ht="27.75" customHeight="1">
      <c r="A2" s="117" t="s">
        <v>35</v>
      </c>
      <c r="B2" s="117"/>
      <c r="C2" s="117"/>
      <c r="D2" s="117"/>
      <c r="E2" s="117"/>
      <c r="F2" s="117"/>
    </row>
    <row r="3" spans="1:7" ht="30">
      <c r="C3" s="7"/>
      <c r="D3" s="7" t="s">
        <v>33</v>
      </c>
    </row>
    <row r="5" spans="1:7" ht="120">
      <c r="A5" s="4" t="s">
        <v>11</v>
      </c>
      <c r="B5" s="4" t="s">
        <v>12</v>
      </c>
      <c r="C5" s="4" t="s">
        <v>36</v>
      </c>
      <c r="D5" s="4" t="s">
        <v>37</v>
      </c>
      <c r="E5" s="4" t="s">
        <v>116</v>
      </c>
      <c r="F5" s="4" t="s">
        <v>15</v>
      </c>
    </row>
    <row r="6" spans="1:7">
      <c r="A6" s="2">
        <v>601</v>
      </c>
      <c r="B6" s="1" t="str">
        <f>'2.2. неис. БА в части местн.'!B6</f>
        <v>Администрация города Ставрополя</v>
      </c>
      <c r="C6" s="11">
        <v>-127680</v>
      </c>
      <c r="D6" s="11">
        <v>3967157.35</v>
      </c>
      <c r="E6" s="21">
        <f t="shared" ref="E6:E19" si="0">ABS(C6/D6*100)</f>
        <v>3.2184254047800751</v>
      </c>
      <c r="F6" s="19">
        <v>2</v>
      </c>
      <c r="G6" s="14">
        <f t="shared" ref="G6:G19" si="1">ROUND(5*(1-E6/100),4)</f>
        <v>4.8391000000000002</v>
      </c>
    </row>
    <row r="7" spans="1:7" ht="30">
      <c r="A7" s="1">
        <v>602</v>
      </c>
      <c r="B7" s="1" t="str">
        <f>'2.2. неис. БА в части местн.'!B7</f>
        <v>Комитет по управлению муниципальным имуществом города Ставрополя</v>
      </c>
      <c r="C7" s="11">
        <v>170772574.62</v>
      </c>
      <c r="D7" s="11">
        <v>827546761.63999999</v>
      </c>
      <c r="E7" s="21">
        <f t="shared" si="0"/>
        <v>20.636003007439673</v>
      </c>
      <c r="F7" s="19">
        <v>0</v>
      </c>
      <c r="G7" s="14">
        <f t="shared" si="1"/>
        <v>3.9681999999999999</v>
      </c>
    </row>
    <row r="8" spans="1:7" ht="30">
      <c r="A8" s="1">
        <v>604</v>
      </c>
      <c r="B8" s="1" t="str">
        <f>'2.2. неис. БА в части местн.'!B8</f>
        <v>Комитет финансов и бюджета администрации города Ставрополя</v>
      </c>
      <c r="C8" s="11">
        <v>-6932.3</v>
      </c>
      <c r="D8" s="74">
        <v>20797089.73</v>
      </c>
      <c r="E8" s="21">
        <f t="shared" si="0"/>
        <v>3.3333029236297863E-2</v>
      </c>
      <c r="F8" s="19">
        <v>5</v>
      </c>
      <c r="G8" s="14">
        <f t="shared" si="1"/>
        <v>4.9983000000000004</v>
      </c>
    </row>
    <row r="9" spans="1:7" ht="30">
      <c r="A9" s="1">
        <v>605</v>
      </c>
      <c r="B9" s="1" t="s">
        <v>4</v>
      </c>
      <c r="C9" s="11">
        <v>0</v>
      </c>
      <c r="D9" s="74">
        <v>4455025.2699999996</v>
      </c>
      <c r="E9" s="21">
        <f t="shared" si="0"/>
        <v>0</v>
      </c>
      <c r="F9" s="19">
        <v>5</v>
      </c>
      <c r="G9" s="14">
        <f t="shared" si="1"/>
        <v>5</v>
      </c>
    </row>
    <row r="10" spans="1:7" ht="30">
      <c r="A10" s="1">
        <v>606</v>
      </c>
      <c r="B10" s="1" t="str">
        <f>'2.2. неис. БА в части местн.'!B10</f>
        <v>Комитет образования администрации города Ставрополя</v>
      </c>
      <c r="C10" s="11">
        <v>542282.5</v>
      </c>
      <c r="D10" s="74">
        <v>1742021460.6400001</v>
      </c>
      <c r="E10" s="21">
        <f t="shared" si="0"/>
        <v>3.1129495947815201E-2</v>
      </c>
      <c r="F10" s="19">
        <v>5</v>
      </c>
      <c r="G10" s="14">
        <f t="shared" si="1"/>
        <v>4.9984000000000002</v>
      </c>
    </row>
    <row r="11" spans="1:7" ht="30">
      <c r="A11" s="1">
        <v>607</v>
      </c>
      <c r="B11" s="1" t="str">
        <f>'2.2. неис. БА в части местн.'!B11</f>
        <v>Комитет культуры администрации города Ставрополя</v>
      </c>
      <c r="C11" s="11">
        <v>-863088</v>
      </c>
      <c r="D11" s="74">
        <v>8689198.4900000002</v>
      </c>
      <c r="E11" s="21">
        <f t="shared" si="0"/>
        <v>9.9328839247174336</v>
      </c>
      <c r="F11" s="19">
        <v>1</v>
      </c>
      <c r="G11" s="14">
        <f t="shared" si="1"/>
        <v>4.5034000000000001</v>
      </c>
    </row>
    <row r="12" spans="1:7" ht="45">
      <c r="A12" s="1">
        <v>609</v>
      </c>
      <c r="B12" s="1" t="str">
        <f>'2.2. неис. БА в части местн.'!B12</f>
        <v>Комитет труда и социальной защиты населения администрации города Ставрополя</v>
      </c>
      <c r="C12" s="11">
        <v>-14126</v>
      </c>
      <c r="D12" s="74">
        <v>1700623742.8199999</v>
      </c>
      <c r="E12" s="21">
        <f t="shared" si="0"/>
        <v>8.3063640970789071E-4</v>
      </c>
      <c r="F12" s="19">
        <v>5</v>
      </c>
      <c r="G12" s="14">
        <f t="shared" si="1"/>
        <v>5</v>
      </c>
    </row>
    <row r="13" spans="1:7" ht="45">
      <c r="A13" s="63">
        <v>611</v>
      </c>
      <c r="B13" s="1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11">
        <v>5706.73</v>
      </c>
      <c r="D13" s="74">
        <v>1317890</v>
      </c>
      <c r="E13" s="21">
        <f t="shared" si="0"/>
        <v>0.43302020654227585</v>
      </c>
      <c r="F13" s="19">
        <v>5</v>
      </c>
      <c r="G13" s="14">
        <f t="shared" si="1"/>
        <v>4.9782999999999999</v>
      </c>
    </row>
    <row r="14" spans="1:7" ht="30">
      <c r="A14" s="1">
        <v>617</v>
      </c>
      <c r="B14" s="1" t="str">
        <f>'2.2. неис. БА в части местн.'!B14</f>
        <v>Администрация Ленинского района города Ставрополя</v>
      </c>
      <c r="C14" s="11">
        <v>0</v>
      </c>
      <c r="D14" s="74">
        <v>10938472.279999999</v>
      </c>
      <c r="E14" s="21">
        <f t="shared" si="0"/>
        <v>0</v>
      </c>
      <c r="F14" s="19">
        <v>5</v>
      </c>
      <c r="G14" s="14">
        <f t="shared" si="1"/>
        <v>5</v>
      </c>
    </row>
    <row r="15" spans="1:7" ht="30">
      <c r="A15" s="1">
        <v>618</v>
      </c>
      <c r="B15" s="1" t="str">
        <f>'2.2. неис. БА в части местн.'!B15</f>
        <v>Администрация Октябрьского района города Ставрополя</v>
      </c>
      <c r="C15" s="11">
        <v>-46000</v>
      </c>
      <c r="D15" s="11">
        <v>9653631.5899999999</v>
      </c>
      <c r="E15" s="21">
        <f t="shared" si="0"/>
        <v>0.47650461457064991</v>
      </c>
      <c r="F15" s="19">
        <v>5</v>
      </c>
      <c r="G15" s="14">
        <f t="shared" si="1"/>
        <v>4.9762000000000004</v>
      </c>
    </row>
    <row r="16" spans="1:7" ht="30">
      <c r="A16" s="1">
        <v>619</v>
      </c>
      <c r="B16" s="1" t="str">
        <f>'2.2. неис. БА в части местн.'!B16</f>
        <v>Администрация Промышленного района города Ставрополя</v>
      </c>
      <c r="C16" s="11">
        <v>-18762.02</v>
      </c>
      <c r="D16" s="11">
        <v>5552730.5899999999</v>
      </c>
      <c r="E16" s="21">
        <f t="shared" si="0"/>
        <v>0.33788817404159349</v>
      </c>
      <c r="F16" s="19">
        <v>5</v>
      </c>
      <c r="G16" s="14">
        <f t="shared" si="1"/>
        <v>4.9831000000000003</v>
      </c>
    </row>
    <row r="17" spans="1:8" ht="30">
      <c r="A17" s="1">
        <v>620</v>
      </c>
      <c r="B17" s="1" t="str">
        <f>'2.2. неис. БА в части местн.'!B17</f>
        <v>Комитет городского хозяйства администрации города Ставрополя</v>
      </c>
      <c r="C17" s="11">
        <v>-49932204.509999998</v>
      </c>
      <c r="D17" s="11">
        <v>369404435.47000003</v>
      </c>
      <c r="E17" s="21">
        <f t="shared" si="0"/>
        <v>13.516947744947982</v>
      </c>
      <c r="F17" s="19">
        <v>0</v>
      </c>
      <c r="G17" s="14">
        <f t="shared" si="1"/>
        <v>4.3242000000000003</v>
      </c>
      <c r="H17" s="14"/>
    </row>
    <row r="18" spans="1:8" ht="30">
      <c r="A18" s="1">
        <v>621</v>
      </c>
      <c r="B18" s="1" t="str">
        <f>'2.2. неис. БА в части местн.'!B18</f>
        <v>Комитет градостроительства администрации города Ставрополя</v>
      </c>
      <c r="C18" s="11">
        <v>-355230200.64999998</v>
      </c>
      <c r="D18" s="11">
        <v>383720440.63999999</v>
      </c>
      <c r="E18" s="21">
        <f t="shared" si="0"/>
        <v>92.575261317202262</v>
      </c>
      <c r="F18" s="19">
        <v>0</v>
      </c>
      <c r="G18" s="14">
        <f t="shared" si="1"/>
        <v>0.37119999999999997</v>
      </c>
    </row>
    <row r="19" spans="1:8" ht="45">
      <c r="A19" s="3">
        <v>624</v>
      </c>
      <c r="B19" s="1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11">
        <v>20544</v>
      </c>
      <c r="D19" s="11">
        <v>1960877.08</v>
      </c>
      <c r="E19" s="21">
        <f t="shared" si="0"/>
        <v>1.0476944327382316</v>
      </c>
      <c r="F19" s="19">
        <v>3</v>
      </c>
      <c r="G19" s="14">
        <f t="shared" si="1"/>
        <v>4.9476000000000004</v>
      </c>
    </row>
    <row r="20" spans="1:8">
      <c r="C20" s="60">
        <f>SUM(C6:C19)</f>
        <v>-234897885.63</v>
      </c>
      <c r="D20" s="60">
        <f>SUM(D6:D19)</f>
        <v>5090648913.5900002</v>
      </c>
    </row>
  </sheetData>
  <sortState ref="A6:G23">
    <sortCondition ref="A6"/>
  </sortState>
  <mergeCells count="2">
    <mergeCell ref="A1:F1"/>
    <mergeCell ref="A2:F2"/>
  </mergeCells>
  <pageMargins left="0.35433070866141736" right="0.19685039370078741" top="0.74803149606299213" bottom="0.74803149606299213" header="0.31496062992125984" footer="0.31496062992125984"/>
  <pageSetup paperSize="9" scale="73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7">
    <tabColor rgb="FF0070C0"/>
  </sheetPr>
  <dimension ref="A1:F19"/>
  <sheetViews>
    <sheetView view="pageBreakPreview" zoomScale="84" zoomScaleNormal="75" zoomScaleSheetLayoutView="84" workbookViewId="0">
      <selection activeCell="B5" sqref="B5"/>
    </sheetView>
  </sheetViews>
  <sheetFormatPr defaultColWidth="9.140625" defaultRowHeight="15"/>
  <cols>
    <col min="1" max="1" width="8.42578125" style="7" customWidth="1"/>
    <col min="2" max="2" width="41.140625" style="5" customWidth="1"/>
    <col min="3" max="3" width="24.85546875" style="20" customWidth="1"/>
    <col min="4" max="4" width="26.140625" style="20" customWidth="1"/>
    <col min="5" max="5" width="22" style="20" customWidth="1"/>
    <col min="6" max="6" width="13.140625" style="5" customWidth="1"/>
    <col min="7" max="16384" width="9.140625" style="5"/>
  </cols>
  <sheetData>
    <row r="1" spans="1:6" s="8" customFormat="1" ht="20.45" customHeight="1">
      <c r="A1" s="116" t="s">
        <v>41</v>
      </c>
      <c r="B1" s="116"/>
      <c r="C1" s="116"/>
      <c r="D1" s="116"/>
      <c r="E1" s="116"/>
      <c r="F1" s="116"/>
    </row>
    <row r="2" spans="1:6" ht="19.5">
      <c r="A2" s="117" t="s">
        <v>117</v>
      </c>
      <c r="B2" s="117"/>
      <c r="C2" s="117"/>
      <c r="D2" s="117"/>
      <c r="E2" s="117"/>
      <c r="F2" s="117"/>
    </row>
    <row r="3" spans="1:6" ht="30">
      <c r="C3" s="58" t="s">
        <v>33</v>
      </c>
      <c r="D3" s="58" t="s">
        <v>33</v>
      </c>
    </row>
    <row r="5" spans="1:6" ht="315">
      <c r="A5" s="4" t="s">
        <v>11</v>
      </c>
      <c r="B5" s="4" t="s">
        <v>12</v>
      </c>
      <c r="C5" s="59" t="s">
        <v>118</v>
      </c>
      <c r="D5" s="59" t="s">
        <v>119</v>
      </c>
      <c r="E5" s="59" t="s">
        <v>120</v>
      </c>
      <c r="F5" s="4" t="s">
        <v>15</v>
      </c>
    </row>
    <row r="6" spans="1:6">
      <c r="A6" s="2">
        <v>601</v>
      </c>
      <c r="B6" s="1" t="str">
        <f>'2.2. неис. БА в части местн.'!B6</f>
        <v>Администрация города Ставрополя</v>
      </c>
      <c r="C6" s="23">
        <v>0</v>
      </c>
      <c r="D6" s="23">
        <v>0</v>
      </c>
      <c r="E6" s="10">
        <v>100</v>
      </c>
      <c r="F6" s="6">
        <v>5</v>
      </c>
    </row>
    <row r="7" spans="1:6" ht="30">
      <c r="A7" s="1">
        <v>602</v>
      </c>
      <c r="B7" s="1" t="str">
        <f>'2.2. неис. БА в части местн.'!B7</f>
        <v>Комитет по управлению муниципальным имуществом города Ставрополя</v>
      </c>
      <c r="C7" s="23">
        <v>7803.19</v>
      </c>
      <c r="D7" s="23">
        <v>7803.19</v>
      </c>
      <c r="E7" s="10">
        <f>ROUND((1-C7/D7)*100,2)</f>
        <v>0</v>
      </c>
      <c r="F7" s="6">
        <v>0</v>
      </c>
    </row>
    <row r="8" spans="1:6" ht="30">
      <c r="A8" s="1">
        <v>604</v>
      </c>
      <c r="B8" s="1" t="str">
        <f>'2.2. неис. БА в части местн.'!B8</f>
        <v>Комитет финансов и бюджета администрации города Ставрополя</v>
      </c>
      <c r="C8" s="23">
        <v>0</v>
      </c>
      <c r="D8" s="23">
        <v>0</v>
      </c>
      <c r="E8" s="10">
        <v>100</v>
      </c>
      <c r="F8" s="6">
        <v>5</v>
      </c>
    </row>
    <row r="9" spans="1:6" ht="30">
      <c r="A9" s="1">
        <v>605</v>
      </c>
      <c r="B9" s="1" t="s">
        <v>4</v>
      </c>
      <c r="C9" s="10">
        <v>0</v>
      </c>
      <c r="D9" s="10">
        <v>0</v>
      </c>
      <c r="E9" s="10">
        <v>100</v>
      </c>
      <c r="F9" s="6">
        <v>5</v>
      </c>
    </row>
    <row r="10" spans="1:6" ht="30">
      <c r="A10" s="1">
        <v>606</v>
      </c>
      <c r="B10" s="1" t="str">
        <f>'2.2. неис. БА в части местн.'!B10</f>
        <v>Комитет образования администрации города Ставрополя</v>
      </c>
      <c r="C10" s="10">
        <v>0</v>
      </c>
      <c r="D10" s="10">
        <v>0</v>
      </c>
      <c r="E10" s="10">
        <v>100</v>
      </c>
      <c r="F10" s="6">
        <v>5</v>
      </c>
    </row>
    <row r="11" spans="1:6" ht="30">
      <c r="A11" s="1">
        <v>607</v>
      </c>
      <c r="B11" s="1" t="str">
        <f>'2.2. неис. БА в части местн.'!B11</f>
        <v>Комитет культуры администрации города Ставрополя</v>
      </c>
      <c r="C11" s="10">
        <v>0</v>
      </c>
      <c r="D11" s="10">
        <v>0</v>
      </c>
      <c r="E11" s="10">
        <v>100</v>
      </c>
      <c r="F11" s="6">
        <v>5</v>
      </c>
    </row>
    <row r="12" spans="1:6" ht="45">
      <c r="A12" s="1">
        <v>609</v>
      </c>
      <c r="B12" s="1" t="s">
        <v>169</v>
      </c>
      <c r="C12" s="10">
        <v>0</v>
      </c>
      <c r="D12" s="10">
        <v>0</v>
      </c>
      <c r="E12" s="10">
        <v>100</v>
      </c>
      <c r="F12" s="6">
        <v>5</v>
      </c>
    </row>
    <row r="13" spans="1:6" ht="45">
      <c r="A13" s="1">
        <v>611</v>
      </c>
      <c r="B13" s="1" t="s">
        <v>170</v>
      </c>
      <c r="C13" s="10">
        <v>0</v>
      </c>
      <c r="D13" s="10">
        <v>0</v>
      </c>
      <c r="E13" s="10">
        <v>100</v>
      </c>
      <c r="F13" s="6">
        <v>5</v>
      </c>
    </row>
    <row r="14" spans="1:6" ht="30">
      <c r="A14" s="1">
        <v>617</v>
      </c>
      <c r="B14" s="1" t="s">
        <v>6</v>
      </c>
      <c r="C14" s="10">
        <v>0</v>
      </c>
      <c r="D14" s="10">
        <v>0</v>
      </c>
      <c r="E14" s="10">
        <v>100</v>
      </c>
      <c r="F14" s="6">
        <v>5</v>
      </c>
    </row>
    <row r="15" spans="1:6" ht="30">
      <c r="A15" s="1">
        <v>618</v>
      </c>
      <c r="B15" s="1" t="s">
        <v>7</v>
      </c>
      <c r="C15" s="10">
        <v>821.53</v>
      </c>
      <c r="D15" s="10">
        <v>821.53</v>
      </c>
      <c r="E15" s="10">
        <f t="shared" ref="E15" si="0">ROUND((1-C15/D15)*100,2)</f>
        <v>0</v>
      </c>
      <c r="F15" s="6">
        <v>0</v>
      </c>
    </row>
    <row r="16" spans="1:6" ht="30">
      <c r="A16" s="1">
        <v>619</v>
      </c>
      <c r="B16" s="1" t="s">
        <v>8</v>
      </c>
      <c r="C16" s="10">
        <v>90.2</v>
      </c>
      <c r="D16" s="10">
        <v>90.2</v>
      </c>
      <c r="E16" s="10">
        <f t="shared" ref="E16:E17" si="1">ROUND((1-C16/D16)*100,2)</f>
        <v>0</v>
      </c>
      <c r="F16" s="6">
        <v>0</v>
      </c>
    </row>
    <row r="17" spans="1:6" ht="30">
      <c r="A17" s="1">
        <v>620</v>
      </c>
      <c r="B17" s="1" t="s">
        <v>9</v>
      </c>
      <c r="C17" s="10">
        <v>190593.96</v>
      </c>
      <c r="D17" s="10">
        <v>234793.42</v>
      </c>
      <c r="E17" s="10">
        <f t="shared" si="1"/>
        <v>18.82</v>
      </c>
      <c r="F17" s="6">
        <v>2</v>
      </c>
    </row>
    <row r="18" spans="1:6" s="24" customFormat="1" ht="30">
      <c r="A18" s="1">
        <v>621</v>
      </c>
      <c r="B18" s="1" t="s">
        <v>10</v>
      </c>
      <c r="C18" s="10">
        <v>0</v>
      </c>
      <c r="D18" s="10">
        <v>0</v>
      </c>
      <c r="E18" s="10">
        <v>100</v>
      </c>
      <c r="F18" s="6">
        <v>5</v>
      </c>
    </row>
    <row r="19" spans="1:6" ht="45">
      <c r="A19" s="3">
        <v>624</v>
      </c>
      <c r="B19" s="1" t="s">
        <v>171</v>
      </c>
      <c r="C19" s="10">
        <v>0</v>
      </c>
      <c r="D19" s="10">
        <v>0</v>
      </c>
      <c r="E19" s="10">
        <v>100</v>
      </c>
      <c r="F19" s="6">
        <v>5</v>
      </c>
    </row>
  </sheetData>
  <sheetProtection formatCells="0" formatColumns="0" formatRows="0" insertColumns="0" insertRows="0" insertHyperlinks="0" deleteColumns="0" deleteRows="0" sort="0" autoFilter="0" pivotTables="0"/>
  <sortState ref="A6:F22">
    <sortCondition ref="A6"/>
  </sortState>
  <mergeCells count="2">
    <mergeCell ref="A1:F1"/>
    <mergeCell ref="A2:F2"/>
  </mergeCells>
  <pageMargins left="0.35433070866141736" right="0.19685039370078741" top="0.74803149606299213" bottom="0.74803149606299213" header="0.31496062992125984" footer="0.31496062992125984"/>
  <pageSetup paperSize="9" scale="7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8">
    <tabColor rgb="FFFF9999"/>
  </sheetPr>
  <dimension ref="A1:E19"/>
  <sheetViews>
    <sheetView view="pageBreakPreview" zoomScale="84" zoomScaleNormal="75" zoomScaleSheetLayoutView="84" workbookViewId="0">
      <selection activeCell="B5" sqref="B5"/>
    </sheetView>
  </sheetViews>
  <sheetFormatPr defaultColWidth="9.140625" defaultRowHeight="15"/>
  <cols>
    <col min="1" max="1" width="8.42578125" style="7" customWidth="1"/>
    <col min="2" max="2" width="41.140625" style="5" customWidth="1"/>
    <col min="3" max="3" width="24.85546875" style="5" customWidth="1"/>
    <col min="4" max="4" width="26.140625" style="5" customWidth="1"/>
    <col min="5" max="5" width="13.140625" style="5" customWidth="1"/>
    <col min="6" max="16384" width="9.140625" style="5"/>
  </cols>
  <sheetData>
    <row r="1" spans="1:5" s="8" customFormat="1" ht="20.45" customHeight="1">
      <c r="A1" s="116" t="s">
        <v>42</v>
      </c>
      <c r="B1" s="116"/>
      <c r="C1" s="116"/>
      <c r="D1" s="116"/>
      <c r="E1" s="116"/>
    </row>
    <row r="2" spans="1:5" ht="47.45" customHeight="1">
      <c r="A2" s="117" t="s">
        <v>43</v>
      </c>
      <c r="B2" s="117"/>
      <c r="C2" s="117"/>
      <c r="D2" s="117"/>
      <c r="E2" s="117"/>
    </row>
    <row r="3" spans="1:5" ht="30">
      <c r="C3" s="7" t="s">
        <v>33</v>
      </c>
      <c r="D3" s="7" t="s">
        <v>33</v>
      </c>
    </row>
    <row r="5" spans="1:5" ht="135">
      <c r="A5" s="4" t="s">
        <v>11</v>
      </c>
      <c r="B5" s="4" t="s">
        <v>12</v>
      </c>
      <c r="C5" s="4" t="s">
        <v>53</v>
      </c>
      <c r="D5" s="4" t="s">
        <v>54</v>
      </c>
      <c r="E5" s="4" t="s">
        <v>15</v>
      </c>
    </row>
    <row r="6" spans="1:5">
      <c r="A6" s="2">
        <v>601</v>
      </c>
      <c r="B6" s="1" t="str">
        <f>'2.2. неис. БА в части местн.'!B6</f>
        <v>Администрация города Ставрополя</v>
      </c>
      <c r="C6" s="75" t="s">
        <v>172</v>
      </c>
      <c r="D6" s="22"/>
      <c r="E6" s="22">
        <v>5</v>
      </c>
    </row>
    <row r="7" spans="1:5" ht="30">
      <c r="A7" s="1">
        <v>602</v>
      </c>
      <c r="B7" s="1" t="str">
        <f>'2.2. неис. БА в части местн.'!B7</f>
        <v>Комитет по управлению муниципальным имуществом города Ставрополя</v>
      </c>
      <c r="C7" s="75" t="s">
        <v>172</v>
      </c>
      <c r="D7" s="22"/>
      <c r="E7" s="22">
        <v>5</v>
      </c>
    </row>
    <row r="8" spans="1:5" ht="30">
      <c r="A8" s="1">
        <v>604</v>
      </c>
      <c r="B8" s="1" t="str">
        <f>'2.2. неис. БА в части местн.'!B8</f>
        <v>Комитет финансов и бюджета администрации города Ставрополя</v>
      </c>
      <c r="C8" s="75" t="s">
        <v>172</v>
      </c>
      <c r="D8" s="22"/>
      <c r="E8" s="22">
        <v>5</v>
      </c>
    </row>
    <row r="9" spans="1:5" ht="30">
      <c r="A9" s="1">
        <v>605</v>
      </c>
      <c r="B9" s="1" t="s">
        <v>4</v>
      </c>
      <c r="C9" s="75" t="s">
        <v>172</v>
      </c>
      <c r="D9" s="22"/>
      <c r="E9" s="22">
        <v>5</v>
      </c>
    </row>
    <row r="10" spans="1:5" ht="30">
      <c r="A10" s="1">
        <v>606</v>
      </c>
      <c r="B10" s="1" t="str">
        <f>'2.2. неис. БА в части местн.'!B10</f>
        <v>Комитет образования администрации города Ставрополя</v>
      </c>
      <c r="C10" s="75" t="s">
        <v>172</v>
      </c>
      <c r="D10" s="22"/>
      <c r="E10" s="22">
        <v>5</v>
      </c>
    </row>
    <row r="11" spans="1:5" ht="30">
      <c r="A11" s="1">
        <v>607</v>
      </c>
      <c r="B11" s="1" t="str">
        <f>'2.2. неис. БА в части местн.'!B11</f>
        <v>Комитет культуры администрации города Ставрополя</v>
      </c>
      <c r="C11" s="75" t="s">
        <v>172</v>
      </c>
      <c r="D11" s="22"/>
      <c r="E11" s="22">
        <v>5</v>
      </c>
    </row>
    <row r="12" spans="1:5" ht="45">
      <c r="A12" s="1">
        <v>609</v>
      </c>
      <c r="B12" s="1" t="str">
        <f>'2.2. неис. БА в части местн.'!B12</f>
        <v>Комитет труда и социальной защиты населения администрации города Ставрополя</v>
      </c>
      <c r="C12" s="75" t="s">
        <v>172</v>
      </c>
      <c r="D12" s="22"/>
      <c r="E12" s="22">
        <v>5</v>
      </c>
    </row>
    <row r="13" spans="1:5" ht="45">
      <c r="A13" s="1">
        <v>611</v>
      </c>
      <c r="B13" s="1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75" t="s">
        <v>172</v>
      </c>
      <c r="D13" s="22"/>
      <c r="E13" s="22">
        <v>5</v>
      </c>
    </row>
    <row r="14" spans="1:5" ht="30">
      <c r="A14" s="1">
        <v>617</v>
      </c>
      <c r="B14" s="1" t="str">
        <f>'2.2. неис. БА в части местн.'!B14</f>
        <v>Администрация Ленинского района города Ставрополя</v>
      </c>
      <c r="C14" s="75" t="s">
        <v>172</v>
      </c>
      <c r="D14" s="22"/>
      <c r="E14" s="22">
        <v>5</v>
      </c>
    </row>
    <row r="15" spans="1:5" ht="30">
      <c r="A15" s="1">
        <v>618</v>
      </c>
      <c r="B15" s="1" t="str">
        <f>'2.2. неис. БА в части местн.'!B15</f>
        <v>Администрация Октябрьского района города Ставрополя</v>
      </c>
      <c r="C15" s="75" t="s">
        <v>172</v>
      </c>
      <c r="D15" s="22"/>
      <c r="E15" s="22">
        <v>5</v>
      </c>
    </row>
    <row r="16" spans="1:5" ht="30">
      <c r="A16" s="1">
        <v>619</v>
      </c>
      <c r="B16" s="1" t="str">
        <f>'2.2. неис. БА в части местн.'!B16</f>
        <v>Администрация Промышленного района города Ставрополя</v>
      </c>
      <c r="C16" s="75" t="s">
        <v>172</v>
      </c>
      <c r="D16" s="22"/>
      <c r="E16" s="22">
        <v>5</v>
      </c>
    </row>
    <row r="17" spans="1:5" ht="30">
      <c r="A17" s="1">
        <v>620</v>
      </c>
      <c r="B17" s="1" t="str">
        <f>'2.2. неис. БА в части местн.'!B17</f>
        <v>Комитет городского хозяйства администрации города Ставрополя</v>
      </c>
      <c r="C17" s="75" t="s">
        <v>172</v>
      </c>
      <c r="D17" s="22"/>
      <c r="E17" s="22">
        <v>5</v>
      </c>
    </row>
    <row r="18" spans="1:5" ht="30">
      <c r="A18" s="1">
        <v>621</v>
      </c>
      <c r="B18" s="1" t="str">
        <f>'2.2. неис. БА в части местн.'!B18</f>
        <v>Комитет градостроительства администрации города Ставрополя</v>
      </c>
      <c r="C18" s="75" t="s">
        <v>172</v>
      </c>
      <c r="D18" s="22"/>
      <c r="E18" s="22">
        <v>5</v>
      </c>
    </row>
    <row r="19" spans="1:5" ht="45">
      <c r="A19" s="3">
        <v>624</v>
      </c>
      <c r="B19" s="1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75" t="s">
        <v>172</v>
      </c>
      <c r="D19" s="22"/>
      <c r="E19" s="22">
        <v>5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51181102362204722" right="0.19685039370078741" top="0.74803149606299213" bottom="0.74803149606299213" header="0.31496062992125984" footer="0.31496062992125984"/>
  <pageSetup paperSize="9" scale="84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9">
    <tabColor rgb="FF7030A0"/>
  </sheetPr>
  <dimension ref="A1:E19"/>
  <sheetViews>
    <sheetView view="pageBreakPreview" topLeftCell="A11" zoomScale="84" zoomScaleNormal="75" zoomScaleSheetLayoutView="84" workbookViewId="0">
      <selection activeCell="C19" sqref="C6:C19"/>
    </sheetView>
  </sheetViews>
  <sheetFormatPr defaultColWidth="9.140625" defaultRowHeight="15"/>
  <cols>
    <col min="1" max="1" width="8.42578125" style="7" customWidth="1"/>
    <col min="2" max="2" width="41.140625" style="5" customWidth="1"/>
    <col min="3" max="3" width="24.85546875" style="5" customWidth="1"/>
    <col min="4" max="4" width="26.140625" style="5" customWidth="1"/>
    <col min="5" max="5" width="13.140625" style="5" customWidth="1"/>
    <col min="6" max="16384" width="9.140625" style="5"/>
  </cols>
  <sheetData>
    <row r="1" spans="1:5" s="8" customFormat="1" ht="20.45" customHeight="1">
      <c r="A1" s="116" t="s">
        <v>42</v>
      </c>
      <c r="B1" s="116"/>
      <c r="C1" s="116"/>
      <c r="D1" s="116"/>
      <c r="E1" s="116"/>
    </row>
    <row r="2" spans="1:5" ht="19.5">
      <c r="A2" s="117" t="s">
        <v>121</v>
      </c>
      <c r="B2" s="117"/>
      <c r="C2" s="117"/>
      <c r="D2" s="117"/>
      <c r="E2" s="117"/>
    </row>
    <row r="3" spans="1:5" ht="30">
      <c r="C3" s="7" t="s">
        <v>33</v>
      </c>
      <c r="D3" s="7" t="s">
        <v>33</v>
      </c>
    </row>
    <row r="5" spans="1:5" ht="210">
      <c r="A5" s="4" t="s">
        <v>11</v>
      </c>
      <c r="B5" s="4" t="s">
        <v>12</v>
      </c>
      <c r="C5" s="4" t="s">
        <v>122</v>
      </c>
      <c r="D5" s="4" t="s">
        <v>123</v>
      </c>
      <c r="E5" s="4" t="s">
        <v>15</v>
      </c>
    </row>
    <row r="6" spans="1:5">
      <c r="A6" s="2">
        <v>601</v>
      </c>
      <c r="B6" s="1" t="str">
        <f>'2.2. неис. БА в части местн.'!B6</f>
        <v>Администрация города Ставрополя</v>
      </c>
      <c r="C6" s="75" t="s">
        <v>172</v>
      </c>
      <c r="D6" s="22"/>
      <c r="E6" s="22">
        <v>5</v>
      </c>
    </row>
    <row r="7" spans="1:5" ht="30">
      <c r="A7" s="1">
        <v>602</v>
      </c>
      <c r="B7" s="1" t="str">
        <f>'2.2. неис. БА в части местн.'!B7</f>
        <v>Комитет по управлению муниципальным имуществом города Ставрополя</v>
      </c>
      <c r="C7" s="75" t="s">
        <v>172</v>
      </c>
      <c r="D7" s="22"/>
      <c r="E7" s="22">
        <v>5</v>
      </c>
    </row>
    <row r="8" spans="1:5" ht="30">
      <c r="A8" s="1">
        <v>604</v>
      </c>
      <c r="B8" s="1" t="str">
        <f>'2.2. неис. БА в части местн.'!B8</f>
        <v>Комитет финансов и бюджета администрации города Ставрополя</v>
      </c>
      <c r="C8" s="75" t="s">
        <v>172</v>
      </c>
      <c r="D8" s="22"/>
      <c r="E8" s="22">
        <v>5</v>
      </c>
    </row>
    <row r="9" spans="1:5" ht="30">
      <c r="A9" s="1">
        <v>605</v>
      </c>
      <c r="B9" s="1" t="s">
        <v>4</v>
      </c>
      <c r="C9" s="75" t="s">
        <v>172</v>
      </c>
      <c r="D9" s="22"/>
      <c r="E9" s="22">
        <v>5</v>
      </c>
    </row>
    <row r="10" spans="1:5" ht="30">
      <c r="A10" s="1">
        <v>606</v>
      </c>
      <c r="B10" s="1" t="str">
        <f>'2.2. неис. БА в части местн.'!B10</f>
        <v>Комитет образования администрации города Ставрополя</v>
      </c>
      <c r="C10" s="75" t="s">
        <v>172</v>
      </c>
      <c r="D10" s="22"/>
      <c r="E10" s="22">
        <v>5</v>
      </c>
    </row>
    <row r="11" spans="1:5" ht="30">
      <c r="A11" s="1">
        <v>607</v>
      </c>
      <c r="B11" s="1" t="str">
        <f>'2.2. неис. БА в части местн.'!B11</f>
        <v>Комитет культуры администрации города Ставрополя</v>
      </c>
      <c r="C11" s="75" t="s">
        <v>172</v>
      </c>
      <c r="D11" s="22"/>
      <c r="E11" s="22">
        <v>5</v>
      </c>
    </row>
    <row r="12" spans="1:5" ht="45">
      <c r="A12" s="1">
        <v>609</v>
      </c>
      <c r="B12" s="1" t="str">
        <f>'2.2. неис. БА в части местн.'!B12</f>
        <v>Комитет труда и социальной защиты населения администрации города Ставрополя</v>
      </c>
      <c r="C12" s="75" t="s">
        <v>172</v>
      </c>
      <c r="D12" s="22"/>
      <c r="E12" s="22">
        <v>5</v>
      </c>
    </row>
    <row r="13" spans="1:5" ht="45">
      <c r="A13" s="1">
        <v>611</v>
      </c>
      <c r="B13" s="1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75" t="s">
        <v>172</v>
      </c>
      <c r="D13" s="22"/>
      <c r="E13" s="22">
        <v>5</v>
      </c>
    </row>
    <row r="14" spans="1:5" ht="30">
      <c r="A14" s="1">
        <v>617</v>
      </c>
      <c r="B14" s="1" t="str">
        <f>'2.2. неис. БА в части местн.'!B14</f>
        <v>Администрация Ленинского района города Ставрополя</v>
      </c>
      <c r="C14" s="75" t="s">
        <v>172</v>
      </c>
      <c r="D14" s="22"/>
      <c r="E14" s="22">
        <v>5</v>
      </c>
    </row>
    <row r="15" spans="1:5" ht="30">
      <c r="A15" s="1">
        <v>618</v>
      </c>
      <c r="B15" s="1" t="str">
        <f>'2.2. неис. БА в части местн.'!B15</f>
        <v>Администрация Октябрьского района города Ставрополя</v>
      </c>
      <c r="C15" s="75" t="s">
        <v>172</v>
      </c>
      <c r="D15" s="22"/>
      <c r="E15" s="22">
        <v>5</v>
      </c>
    </row>
    <row r="16" spans="1:5" ht="30">
      <c r="A16" s="1">
        <v>619</v>
      </c>
      <c r="B16" s="1" t="str">
        <f>'2.2. неис. БА в части местн.'!B16</f>
        <v>Администрация Промышленного района города Ставрополя</v>
      </c>
      <c r="C16" s="75" t="s">
        <v>172</v>
      </c>
      <c r="D16" s="22"/>
      <c r="E16" s="22">
        <v>5</v>
      </c>
    </row>
    <row r="17" spans="1:5" ht="30">
      <c r="A17" s="1">
        <v>620</v>
      </c>
      <c r="B17" s="1" t="str">
        <f>'2.2. неис. БА в части местн.'!B17</f>
        <v>Комитет городского хозяйства администрации города Ставрополя</v>
      </c>
      <c r="C17" s="75" t="s">
        <v>172</v>
      </c>
      <c r="D17" s="22"/>
      <c r="E17" s="22">
        <v>5</v>
      </c>
    </row>
    <row r="18" spans="1:5" ht="30">
      <c r="A18" s="1">
        <v>621</v>
      </c>
      <c r="B18" s="1" t="str">
        <f>'2.2. неис. БА в части местн.'!B18</f>
        <v>Комитет градостроительства администрации города Ставрополя</v>
      </c>
      <c r="C18" s="75" t="s">
        <v>172</v>
      </c>
      <c r="D18" s="22"/>
      <c r="E18" s="22">
        <v>5</v>
      </c>
    </row>
    <row r="19" spans="1:5" ht="45">
      <c r="A19" s="3">
        <v>624</v>
      </c>
      <c r="B19" s="1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75" t="s">
        <v>172</v>
      </c>
      <c r="D19" s="22"/>
      <c r="E19" s="22">
        <v>5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51181102362204722" right="0.19685039370078741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F20"/>
  <sheetViews>
    <sheetView tabSelected="1" view="pageBreakPreview" zoomScale="82" zoomScaleNormal="100" zoomScaleSheetLayoutView="82" workbookViewId="0">
      <selection activeCell="D17" sqref="D17"/>
    </sheetView>
  </sheetViews>
  <sheetFormatPr defaultColWidth="9.140625" defaultRowHeight="15"/>
  <cols>
    <col min="1" max="1" width="9.140625" style="5"/>
    <col min="2" max="2" width="7.140625" style="5" customWidth="1"/>
    <col min="3" max="3" width="8.42578125" style="7" customWidth="1"/>
    <col min="4" max="4" width="50.85546875" style="5" customWidth="1"/>
    <col min="5" max="5" width="15" style="20" customWidth="1"/>
    <col min="6" max="16384" width="9.140625" style="5"/>
  </cols>
  <sheetData>
    <row r="1" spans="1:6" ht="15.75">
      <c r="B1" s="113" t="s">
        <v>155</v>
      </c>
      <c r="C1" s="113"/>
      <c r="D1" s="113"/>
      <c r="E1" s="113"/>
    </row>
    <row r="2" spans="1:6" ht="15.75">
      <c r="B2" s="113" t="s">
        <v>156</v>
      </c>
      <c r="C2" s="113"/>
      <c r="D2" s="113"/>
      <c r="E2" s="113"/>
    </row>
    <row r="3" spans="1:6" ht="15.75">
      <c r="B3" s="113" t="s">
        <v>88</v>
      </c>
      <c r="C3" s="113"/>
      <c r="D3" s="113"/>
      <c r="E3" s="113"/>
    </row>
    <row r="4" spans="1:6" ht="15.75">
      <c r="B4" s="113" t="s">
        <v>89</v>
      </c>
      <c r="C4" s="113"/>
      <c r="D4" s="113"/>
      <c r="E4" s="113"/>
    </row>
    <row r="6" spans="1:6" ht="140.65" customHeight="1">
      <c r="A6" s="4" t="s">
        <v>11</v>
      </c>
      <c r="B6" s="4" t="s">
        <v>91</v>
      </c>
      <c r="C6" s="4" t="s">
        <v>11</v>
      </c>
      <c r="D6" s="4" t="s">
        <v>12</v>
      </c>
      <c r="E6" s="48" t="s">
        <v>101</v>
      </c>
    </row>
    <row r="7" spans="1:6" s="16" customFormat="1" ht="30">
      <c r="A7" s="1">
        <v>606</v>
      </c>
      <c r="B7" s="129">
        <v>1</v>
      </c>
      <c r="C7" s="130">
        <v>606</v>
      </c>
      <c r="D7" s="130" t="s">
        <v>167</v>
      </c>
      <c r="E7" s="131">
        <f>'Итоги по ГРБС'!F10</f>
        <v>8.1199999999999992</v>
      </c>
      <c r="F7" s="1">
        <v>606</v>
      </c>
    </row>
    <row r="8" spans="1:6" s="16" customFormat="1" ht="30">
      <c r="A8" s="2">
        <v>607</v>
      </c>
      <c r="B8" s="129">
        <v>2</v>
      </c>
      <c r="C8" s="130">
        <v>607</v>
      </c>
      <c r="D8" s="130" t="s">
        <v>168</v>
      </c>
      <c r="E8" s="131">
        <f>'Итоги по ГРБС'!F11</f>
        <v>6.78</v>
      </c>
      <c r="F8" s="2">
        <v>607</v>
      </c>
    </row>
    <row r="9" spans="1:6" s="16" customFormat="1" ht="30">
      <c r="A9" s="1">
        <v>611</v>
      </c>
      <c r="B9" s="129">
        <v>3</v>
      </c>
      <c r="C9" s="130">
        <v>611</v>
      </c>
      <c r="D9" s="130" t="s">
        <v>170</v>
      </c>
      <c r="E9" s="131">
        <f>'Итоги по ГРБС'!F13</f>
        <v>5.94</v>
      </c>
      <c r="F9" s="1">
        <v>611</v>
      </c>
    </row>
    <row r="10" spans="1:6" s="16" customFormat="1">
      <c r="A10" s="2">
        <v>601</v>
      </c>
      <c r="B10" s="6">
        <v>4</v>
      </c>
      <c r="C10" s="1">
        <v>601</v>
      </c>
      <c r="D10" s="1" t="s">
        <v>1</v>
      </c>
      <c r="E10" s="10">
        <f>'Итоги по ГРБС'!F6</f>
        <v>5.39</v>
      </c>
      <c r="F10" s="2">
        <v>601</v>
      </c>
    </row>
    <row r="11" spans="1:6" s="16" customFormat="1" ht="30">
      <c r="A11" s="1">
        <v>620</v>
      </c>
      <c r="B11" s="6">
        <v>5</v>
      </c>
      <c r="C11" s="1">
        <v>620</v>
      </c>
      <c r="D11" s="1" t="s">
        <v>9</v>
      </c>
      <c r="E11" s="10">
        <f>'Итоги по ГРБС'!F17</f>
        <v>5.1100000000000003</v>
      </c>
      <c r="F11" s="1">
        <v>620</v>
      </c>
    </row>
    <row r="12" spans="1:6" s="16" customFormat="1" ht="30">
      <c r="A12" s="1"/>
      <c r="B12" s="6">
        <v>6</v>
      </c>
      <c r="C12" s="1">
        <v>609</v>
      </c>
      <c r="D12" s="1" t="s">
        <v>169</v>
      </c>
      <c r="E12" s="10">
        <f>'Итоги по ГРБС'!F12</f>
        <v>4.7300000000000004</v>
      </c>
      <c r="F12" s="1"/>
    </row>
    <row r="13" spans="1:6" s="16" customFormat="1" ht="30">
      <c r="A13" s="1">
        <v>618</v>
      </c>
      <c r="B13" s="6">
        <v>7</v>
      </c>
      <c r="C13" s="1">
        <v>618</v>
      </c>
      <c r="D13" s="1" t="s">
        <v>7</v>
      </c>
      <c r="E13" s="10">
        <f>'Итоги по ГРБС'!F15</f>
        <v>4.5599999999999996</v>
      </c>
      <c r="F13" s="1">
        <v>618</v>
      </c>
    </row>
    <row r="14" spans="1:6" s="16" customFormat="1" ht="30">
      <c r="A14" s="1">
        <v>609</v>
      </c>
      <c r="B14" s="6">
        <v>8</v>
      </c>
      <c r="C14" s="1">
        <v>617</v>
      </c>
      <c r="D14" s="1" t="s">
        <v>6</v>
      </c>
      <c r="E14" s="10">
        <f>'Итоги по ГРБС'!F14</f>
        <v>4.4000000000000004</v>
      </c>
      <c r="F14" s="1">
        <v>609</v>
      </c>
    </row>
    <row r="15" spans="1:6" s="16" customFormat="1" ht="30">
      <c r="A15" s="1">
        <v>619</v>
      </c>
      <c r="B15" s="6">
        <v>9</v>
      </c>
      <c r="C15" s="1">
        <v>619</v>
      </c>
      <c r="D15" s="1" t="s">
        <v>8</v>
      </c>
      <c r="E15" s="10">
        <f>'Итоги по ГРБС'!F16</f>
        <v>4.1399999999999997</v>
      </c>
      <c r="F15" s="1">
        <v>619</v>
      </c>
    </row>
    <row r="16" spans="1:6" ht="30">
      <c r="A16" s="2">
        <v>621</v>
      </c>
      <c r="B16" s="6">
        <v>10</v>
      </c>
      <c r="C16" s="2">
        <v>621</v>
      </c>
      <c r="D16" s="2" t="s">
        <v>10</v>
      </c>
      <c r="E16" s="10">
        <f>'Итоги по ГРБС'!F18</f>
        <v>4</v>
      </c>
      <c r="F16" s="2">
        <v>621</v>
      </c>
    </row>
    <row r="17" spans="1:6" ht="30">
      <c r="A17" s="1">
        <v>604</v>
      </c>
      <c r="B17" s="6">
        <v>11</v>
      </c>
      <c r="C17" s="1">
        <v>604</v>
      </c>
      <c r="D17" s="1" t="s">
        <v>3</v>
      </c>
      <c r="E17" s="10">
        <f>'Итоги по ГРБС'!F8</f>
        <v>3.96</v>
      </c>
      <c r="F17" s="1">
        <v>604</v>
      </c>
    </row>
    <row r="18" spans="1:6" ht="45">
      <c r="A18" s="1">
        <v>624</v>
      </c>
      <c r="B18" s="6">
        <v>12</v>
      </c>
      <c r="C18" s="1">
        <v>624</v>
      </c>
      <c r="D18" s="3" t="s">
        <v>171</v>
      </c>
      <c r="E18" s="10">
        <f>'Итоги по ГРБС'!F19</f>
        <v>3.67</v>
      </c>
      <c r="F18" s="1">
        <v>624</v>
      </c>
    </row>
    <row r="19" spans="1:6" ht="30">
      <c r="A19" s="3">
        <v>602</v>
      </c>
      <c r="B19" s="6">
        <v>13</v>
      </c>
      <c r="C19" s="3">
        <v>602</v>
      </c>
      <c r="D19" s="3" t="s">
        <v>2</v>
      </c>
      <c r="E19" s="10">
        <f>'Итоги по ГРБС'!F7</f>
        <v>3.08</v>
      </c>
      <c r="F19" s="3">
        <v>602</v>
      </c>
    </row>
    <row r="20" spans="1:6" ht="30">
      <c r="A20" s="1">
        <v>605</v>
      </c>
      <c r="B20" s="6">
        <v>14</v>
      </c>
      <c r="C20" s="1">
        <v>605</v>
      </c>
      <c r="D20" s="1" t="s">
        <v>4</v>
      </c>
      <c r="E20" s="10">
        <f>'Итоги по ГРБС'!F9</f>
        <v>2.93</v>
      </c>
      <c r="F20" s="1">
        <v>605</v>
      </c>
    </row>
  </sheetData>
  <sheetProtection formatCells="0" formatColumns="0" formatRows="0" insertColumns="0" insertRows="0" insertHyperlinks="0" deleteColumns="0" deleteRows="0" sort="0" autoFilter="0" pivotTables="0"/>
  <sortState ref="B7:F23">
    <sortCondition descending="1" ref="E7"/>
  </sortState>
  <mergeCells count="4">
    <mergeCell ref="B1:E1"/>
    <mergeCell ref="B3:E3"/>
    <mergeCell ref="B2:E2"/>
    <mergeCell ref="B4:E4"/>
  </mergeCells>
  <pageMargins left="0.24" right="0.19685039370078741" top="0.35433070866141736" bottom="0.19685039370078741" header="0.15748031496062992" footer="0.15748031496062992"/>
  <pageSetup paperSize="9" scale="82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0">
    <tabColor rgb="FF66FFFF"/>
  </sheetPr>
  <dimension ref="A1:E19"/>
  <sheetViews>
    <sheetView view="pageBreakPreview" zoomScale="84" zoomScaleNormal="75" zoomScaleSheetLayoutView="84" workbookViewId="0">
      <selection activeCell="C6" sqref="C6:C19"/>
    </sheetView>
  </sheetViews>
  <sheetFormatPr defaultColWidth="9.140625" defaultRowHeight="15"/>
  <cols>
    <col min="1" max="1" width="8.42578125" style="7" customWidth="1"/>
    <col min="2" max="2" width="41.140625" style="5" customWidth="1"/>
    <col min="3" max="3" width="24.85546875" style="5" customWidth="1"/>
    <col min="4" max="4" width="26.140625" style="5" customWidth="1"/>
    <col min="5" max="5" width="13.140625" style="5" customWidth="1"/>
    <col min="6" max="16384" width="9.140625" style="5"/>
  </cols>
  <sheetData>
    <row r="1" spans="1:5" s="8" customFormat="1" ht="20.45" customHeight="1">
      <c r="A1" s="116" t="s">
        <v>42</v>
      </c>
      <c r="B1" s="116"/>
      <c r="C1" s="116"/>
      <c r="D1" s="116"/>
      <c r="E1" s="116"/>
    </row>
    <row r="2" spans="1:5" ht="40.15" customHeight="1">
      <c r="A2" s="117" t="s">
        <v>124</v>
      </c>
      <c r="B2" s="117"/>
      <c r="C2" s="117"/>
      <c r="D2" s="117"/>
      <c r="E2" s="117"/>
    </row>
    <row r="3" spans="1:5" ht="30">
      <c r="C3" s="7" t="s">
        <v>33</v>
      </c>
      <c r="D3" s="7" t="s">
        <v>33</v>
      </c>
    </row>
    <row r="5" spans="1:5" ht="150">
      <c r="A5" s="4" t="s">
        <v>11</v>
      </c>
      <c r="B5" s="4" t="s">
        <v>12</v>
      </c>
      <c r="C5" s="4" t="s">
        <v>125</v>
      </c>
      <c r="D5" s="4" t="s">
        <v>126</v>
      </c>
      <c r="E5" s="4" t="s">
        <v>15</v>
      </c>
    </row>
    <row r="6" spans="1:5">
      <c r="A6" s="2">
        <v>601</v>
      </c>
      <c r="B6" s="1" t="str">
        <f>'2.2. неис. БА в части местн.'!B6</f>
        <v>Администрация города Ставрополя</v>
      </c>
      <c r="C6" s="75" t="s">
        <v>172</v>
      </c>
      <c r="D6" s="22"/>
      <c r="E6" s="22">
        <v>5</v>
      </c>
    </row>
    <row r="7" spans="1:5" ht="30">
      <c r="A7" s="1">
        <v>602</v>
      </c>
      <c r="B7" s="1" t="str">
        <f>'2.2. неис. БА в части местн.'!B7</f>
        <v>Комитет по управлению муниципальным имуществом города Ставрополя</v>
      </c>
      <c r="C7" s="75" t="s">
        <v>172</v>
      </c>
      <c r="D7" s="22"/>
      <c r="E7" s="22">
        <v>5</v>
      </c>
    </row>
    <row r="8" spans="1:5" ht="30">
      <c r="A8" s="1">
        <v>604</v>
      </c>
      <c r="B8" s="1" t="str">
        <f>'2.2. неис. БА в части местн.'!B8</f>
        <v>Комитет финансов и бюджета администрации города Ставрополя</v>
      </c>
      <c r="C8" s="75" t="s">
        <v>172</v>
      </c>
      <c r="D8" s="22"/>
      <c r="E8" s="22">
        <v>5</v>
      </c>
    </row>
    <row r="9" spans="1:5" ht="30">
      <c r="A9" s="1">
        <v>605</v>
      </c>
      <c r="B9" s="1" t="s">
        <v>4</v>
      </c>
      <c r="C9" s="75" t="s">
        <v>172</v>
      </c>
      <c r="D9" s="22"/>
      <c r="E9" s="22">
        <v>5</v>
      </c>
    </row>
    <row r="10" spans="1:5" ht="30">
      <c r="A10" s="1">
        <v>606</v>
      </c>
      <c r="B10" s="1" t="str">
        <f>'2.2. неис. БА в части местн.'!B10</f>
        <v>Комитет образования администрации города Ставрополя</v>
      </c>
      <c r="C10" s="75" t="s">
        <v>172</v>
      </c>
      <c r="D10" s="22"/>
      <c r="E10" s="22">
        <v>5</v>
      </c>
    </row>
    <row r="11" spans="1:5" ht="30">
      <c r="A11" s="1">
        <v>607</v>
      </c>
      <c r="B11" s="1" t="str">
        <f>'2.2. неис. БА в части местн.'!B11</f>
        <v>Комитет культуры администрации города Ставрополя</v>
      </c>
      <c r="C11" s="75" t="s">
        <v>172</v>
      </c>
      <c r="D11" s="22"/>
      <c r="E11" s="22">
        <v>5</v>
      </c>
    </row>
    <row r="12" spans="1:5" ht="45">
      <c r="A12" s="1">
        <v>609</v>
      </c>
      <c r="B12" s="1" t="str">
        <f>'2.2. неис. БА в части местн.'!B12</f>
        <v>Комитет труда и социальной защиты населения администрации города Ставрополя</v>
      </c>
      <c r="C12" s="75" t="s">
        <v>172</v>
      </c>
      <c r="D12" s="22"/>
      <c r="E12" s="22">
        <v>5</v>
      </c>
    </row>
    <row r="13" spans="1:5" ht="45">
      <c r="A13" s="1">
        <v>611</v>
      </c>
      <c r="B13" s="1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75" t="s">
        <v>172</v>
      </c>
      <c r="D13" s="22"/>
      <c r="E13" s="22">
        <v>5</v>
      </c>
    </row>
    <row r="14" spans="1:5" ht="30">
      <c r="A14" s="1">
        <v>617</v>
      </c>
      <c r="B14" s="1" t="str">
        <f>'2.2. неис. БА в части местн.'!B14</f>
        <v>Администрация Ленинского района города Ставрополя</v>
      </c>
      <c r="C14" s="75" t="s">
        <v>172</v>
      </c>
      <c r="D14" s="22"/>
      <c r="E14" s="22">
        <v>5</v>
      </c>
    </row>
    <row r="15" spans="1:5" ht="30">
      <c r="A15" s="1">
        <v>618</v>
      </c>
      <c r="B15" s="1" t="str">
        <f>'2.2. неис. БА в части местн.'!B15</f>
        <v>Администрация Октябрьского района города Ставрополя</v>
      </c>
      <c r="C15" s="75" t="s">
        <v>172</v>
      </c>
      <c r="D15" s="22"/>
      <c r="E15" s="22">
        <v>5</v>
      </c>
    </row>
    <row r="16" spans="1:5" ht="30">
      <c r="A16" s="1">
        <v>619</v>
      </c>
      <c r="B16" s="1" t="str">
        <f>'2.2. неис. БА в части местн.'!B16</f>
        <v>Администрация Промышленного района города Ставрополя</v>
      </c>
      <c r="C16" s="75" t="s">
        <v>172</v>
      </c>
      <c r="D16" s="22"/>
      <c r="E16" s="22">
        <v>5</v>
      </c>
    </row>
    <row r="17" spans="1:5" ht="30">
      <c r="A17" s="1">
        <v>620</v>
      </c>
      <c r="B17" s="1" t="str">
        <f>'2.2. неис. БА в части местн.'!B17</f>
        <v>Комитет городского хозяйства администрации города Ставрополя</v>
      </c>
      <c r="C17" s="75" t="s">
        <v>172</v>
      </c>
      <c r="D17" s="22"/>
      <c r="E17" s="22">
        <v>5</v>
      </c>
    </row>
    <row r="18" spans="1:5" ht="30">
      <c r="A18" s="1">
        <v>621</v>
      </c>
      <c r="B18" s="1" t="str">
        <f>'2.2. неис. БА в части местн.'!B18</f>
        <v>Комитет градостроительства администрации города Ставрополя</v>
      </c>
      <c r="C18" s="75" t="s">
        <v>172</v>
      </c>
      <c r="D18" s="22"/>
      <c r="E18" s="22">
        <v>5</v>
      </c>
    </row>
    <row r="19" spans="1:5" ht="45">
      <c r="A19" s="3">
        <v>624</v>
      </c>
      <c r="B19" s="1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75" t="s">
        <v>172</v>
      </c>
      <c r="D19" s="22"/>
      <c r="E19" s="22">
        <v>5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51181102362204722" right="0.19685039370078741" top="0.74803149606299213" bottom="0.74803149606299213" header="0.31496062992125984" footer="0.31496062992125984"/>
  <pageSetup paperSize="9" scale="84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Лист21">
    <tabColor rgb="FFFFFF66"/>
  </sheetPr>
  <dimension ref="A1:E20"/>
  <sheetViews>
    <sheetView view="pageBreakPreview" topLeftCell="A9" zoomScale="84" zoomScaleNormal="75" zoomScaleSheetLayoutView="84" workbookViewId="0">
      <selection activeCell="E17" sqref="E17"/>
    </sheetView>
  </sheetViews>
  <sheetFormatPr defaultColWidth="9.140625" defaultRowHeight="15"/>
  <cols>
    <col min="1" max="1" width="8.42578125" style="7" customWidth="1"/>
    <col min="2" max="2" width="41.140625" style="5" customWidth="1"/>
    <col min="3" max="3" width="24.85546875" style="5" customWidth="1"/>
    <col min="4" max="4" width="22.85546875" style="5" customWidth="1"/>
    <col min="5" max="5" width="22" style="5" customWidth="1"/>
    <col min="6" max="16384" width="9.140625" style="5"/>
  </cols>
  <sheetData>
    <row r="1" spans="1:5" s="8" customFormat="1" ht="20.45" customHeight="1">
      <c r="A1" s="116" t="s">
        <v>42</v>
      </c>
      <c r="B1" s="116"/>
      <c r="C1" s="116"/>
      <c r="D1" s="116"/>
      <c r="E1" s="116"/>
    </row>
    <row r="2" spans="1:5" ht="19.5">
      <c r="A2" s="117" t="s">
        <v>127</v>
      </c>
      <c r="B2" s="117"/>
      <c r="C2" s="117"/>
      <c r="D2" s="117"/>
      <c r="E2" s="117"/>
    </row>
    <row r="3" spans="1:5" ht="30">
      <c r="C3" s="7"/>
      <c r="D3" s="7" t="s">
        <v>33</v>
      </c>
    </row>
    <row r="5" spans="1:5" ht="120">
      <c r="A5" s="4" t="s">
        <v>11</v>
      </c>
      <c r="B5" s="4" t="s">
        <v>12</v>
      </c>
      <c r="C5" s="4" t="s">
        <v>44</v>
      </c>
      <c r="D5" s="4" t="s">
        <v>45</v>
      </c>
      <c r="E5" s="4" t="s">
        <v>46</v>
      </c>
    </row>
    <row r="6" spans="1:5">
      <c r="A6" s="2">
        <v>601</v>
      </c>
      <c r="B6" s="1" t="str">
        <f>'2.2. неис. БА в части местн.'!B6</f>
        <v>Администрация города Ставрополя</v>
      </c>
      <c r="C6" s="11">
        <v>393650692.20999998</v>
      </c>
      <c r="D6" s="11">
        <v>465211616.69</v>
      </c>
      <c r="E6" s="21">
        <f t="shared" ref="E6:E19" si="0">ROUND(C6/D6*100,2)</f>
        <v>84.62</v>
      </c>
    </row>
    <row r="7" spans="1:5" ht="30">
      <c r="A7" s="1">
        <v>602</v>
      </c>
      <c r="B7" s="1" t="str">
        <f>'2.2. неис. БА в части местн.'!B7</f>
        <v>Комитет по управлению муниципальным имуществом города Ставрополя</v>
      </c>
      <c r="C7" s="11">
        <v>11636262.99</v>
      </c>
      <c r="D7" s="11">
        <v>16765435.140000001</v>
      </c>
      <c r="E7" s="21">
        <f t="shared" si="0"/>
        <v>69.41</v>
      </c>
    </row>
    <row r="8" spans="1:5" ht="30">
      <c r="A8" s="1">
        <v>604</v>
      </c>
      <c r="B8" s="1" t="str">
        <f>'2.2. неис. БА в части местн.'!B8</f>
        <v>Комитет финансов и бюджета администрации города Ставрополя</v>
      </c>
      <c r="C8" s="11">
        <v>11267202.789999999</v>
      </c>
      <c r="D8" s="11">
        <v>12041885.369999999</v>
      </c>
      <c r="E8" s="21">
        <f t="shared" si="0"/>
        <v>93.57</v>
      </c>
    </row>
    <row r="9" spans="1:5" ht="30">
      <c r="A9" s="1">
        <v>605</v>
      </c>
      <c r="B9" s="1" t="s">
        <v>4</v>
      </c>
      <c r="C9" s="11">
        <v>8194622.8399999999</v>
      </c>
      <c r="D9" s="11">
        <v>8261388.9400000004</v>
      </c>
      <c r="E9" s="21">
        <f t="shared" si="0"/>
        <v>99.19</v>
      </c>
    </row>
    <row r="10" spans="1:5" ht="30">
      <c r="A10" s="1">
        <v>606</v>
      </c>
      <c r="B10" s="1" t="str">
        <f>'2.2. неис. БА в части местн.'!B10</f>
        <v>Комитет образования администрации города Ставрополя</v>
      </c>
      <c r="C10" s="11">
        <v>6452904.1399999997</v>
      </c>
      <c r="D10" s="11">
        <v>8421262.0500000007</v>
      </c>
      <c r="E10" s="21">
        <f t="shared" si="0"/>
        <v>76.63</v>
      </c>
    </row>
    <row r="11" spans="1:5" ht="30">
      <c r="A11" s="1">
        <v>607</v>
      </c>
      <c r="B11" s="1" t="str">
        <f>'2.2. неис. БА в части местн.'!B11</f>
        <v>Комитет культуры администрации города Ставрополя</v>
      </c>
      <c r="C11" s="11">
        <v>2786455.2</v>
      </c>
      <c r="D11" s="11">
        <v>10861282.32</v>
      </c>
      <c r="E11" s="21">
        <f t="shared" si="0"/>
        <v>25.65</v>
      </c>
    </row>
    <row r="12" spans="1:5" ht="45">
      <c r="A12" s="1">
        <v>609</v>
      </c>
      <c r="B12" s="1" t="str">
        <f>'2.2. неис. БА в части местн.'!B12</f>
        <v>Комитет труда и социальной защиты населения администрации города Ставрополя</v>
      </c>
      <c r="C12" s="11">
        <v>11847840.34</v>
      </c>
      <c r="D12" s="11">
        <v>18715176.140000001</v>
      </c>
      <c r="E12" s="21">
        <f t="shared" si="0"/>
        <v>63.31</v>
      </c>
    </row>
    <row r="13" spans="1:5" ht="45">
      <c r="A13" s="1">
        <v>611</v>
      </c>
      <c r="B13" s="1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11">
        <v>2898903.29</v>
      </c>
      <c r="D13" s="11">
        <v>4244900.51</v>
      </c>
      <c r="E13" s="21">
        <f t="shared" si="0"/>
        <v>68.290000000000006</v>
      </c>
    </row>
    <row r="14" spans="1:5" ht="30">
      <c r="A14" s="1">
        <v>617</v>
      </c>
      <c r="B14" s="1" t="str">
        <f>'2.2. неис. БА в части местн.'!B14</f>
        <v>Администрация Ленинского района города Ставрополя</v>
      </c>
      <c r="C14" s="11">
        <v>7681041.1900000004</v>
      </c>
      <c r="D14" s="11">
        <v>10469230.5</v>
      </c>
      <c r="E14" s="21">
        <f t="shared" si="0"/>
        <v>73.37</v>
      </c>
    </row>
    <row r="15" spans="1:5" ht="30">
      <c r="A15" s="1">
        <v>618</v>
      </c>
      <c r="B15" s="1" t="str">
        <f>'2.2. неис. БА в части местн.'!B15</f>
        <v>Администрация Октябрьского района города Ставрополя</v>
      </c>
      <c r="C15" s="11">
        <v>10295961.220000001</v>
      </c>
      <c r="D15" s="11">
        <v>11727715.59</v>
      </c>
      <c r="E15" s="21">
        <f t="shared" si="0"/>
        <v>87.79</v>
      </c>
    </row>
    <row r="16" spans="1:5" ht="30">
      <c r="A16" s="1">
        <v>619</v>
      </c>
      <c r="B16" s="1" t="str">
        <f>'2.2. неис. БА в части местн.'!B16</f>
        <v>Администрация Промышленного района города Ставрополя</v>
      </c>
      <c r="C16" s="11">
        <v>11989264.390000001</v>
      </c>
      <c r="D16" s="11">
        <v>23335368.329999998</v>
      </c>
      <c r="E16" s="21">
        <f t="shared" si="0"/>
        <v>51.38</v>
      </c>
    </row>
    <row r="17" spans="1:5" ht="30">
      <c r="A17" s="1">
        <v>620</v>
      </c>
      <c r="B17" s="1" t="str">
        <f>'2.2. неис. БА в части местн.'!B17</f>
        <v>Комитет городского хозяйства администрации города Ставрополя</v>
      </c>
      <c r="C17" s="11">
        <v>12163715.029999999</v>
      </c>
      <c r="D17" s="11">
        <v>13120166.039999999</v>
      </c>
      <c r="E17" s="21">
        <f t="shared" si="0"/>
        <v>92.71</v>
      </c>
    </row>
    <row r="18" spans="1:5" ht="30">
      <c r="A18" s="1">
        <v>621</v>
      </c>
      <c r="B18" s="1" t="str">
        <f>'2.2. неис. БА в части местн.'!B18</f>
        <v>Комитет градостроительства администрации города Ставрополя</v>
      </c>
      <c r="C18" s="11">
        <v>10677240.189999999</v>
      </c>
      <c r="D18" s="11">
        <v>19257028.579999998</v>
      </c>
      <c r="E18" s="21">
        <f t="shared" si="0"/>
        <v>55.45</v>
      </c>
    </row>
    <row r="19" spans="1:5" ht="45">
      <c r="A19" s="3">
        <v>624</v>
      </c>
      <c r="B19" s="1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11">
        <v>50003462.640000001</v>
      </c>
      <c r="D19" s="11">
        <v>115658734.81999999</v>
      </c>
      <c r="E19" s="21">
        <f t="shared" si="0"/>
        <v>43.23</v>
      </c>
    </row>
    <row r="20" spans="1:5">
      <c r="C20" s="60">
        <f>SUM(C6:C19)</f>
        <v>551545568.45999992</v>
      </c>
      <c r="D20" s="60">
        <f>SUM(D6:D19)</f>
        <v>738091191.01999998</v>
      </c>
    </row>
  </sheetData>
  <sheetProtection formatCells="0" formatColumns="0" formatRows="0" insertColumns="0" insertRows="0" insertHyperlinks="0" deleteColumns="0" deleteRows="0" sort="0" autoFilter="0" pivotTables="0"/>
  <sortState ref="A6:E22">
    <sortCondition ref="A6"/>
  </sortState>
  <mergeCells count="2">
    <mergeCell ref="A1:E1"/>
    <mergeCell ref="A2:E2"/>
  </mergeCells>
  <pageMargins left="0.35433070866141736" right="0.19685039370078741" top="0.74803149606299213" bottom="0.74803149606299213" header="0.31496062992125984" footer="0.31496062992125984"/>
  <pageSetup paperSize="9" scale="81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codeName="Лист22">
    <tabColor rgb="FF00B050"/>
  </sheetPr>
  <dimension ref="A1:E20"/>
  <sheetViews>
    <sheetView view="pageBreakPreview" topLeftCell="A7" zoomScale="84" zoomScaleNormal="75" zoomScaleSheetLayoutView="84" workbookViewId="0">
      <selection activeCell="C24" sqref="C24"/>
    </sheetView>
  </sheetViews>
  <sheetFormatPr defaultColWidth="9.140625" defaultRowHeight="15"/>
  <cols>
    <col min="1" max="1" width="8.42578125" style="7" customWidth="1"/>
    <col min="2" max="2" width="41.140625" style="5" customWidth="1"/>
    <col min="3" max="3" width="24.85546875" style="5" customWidth="1"/>
    <col min="4" max="4" width="22.85546875" style="5" customWidth="1"/>
    <col min="5" max="5" width="22" style="5" customWidth="1"/>
    <col min="6" max="16384" width="9.140625" style="5"/>
  </cols>
  <sheetData>
    <row r="1" spans="1:5" s="8" customFormat="1" ht="20.45" customHeight="1">
      <c r="A1" s="116" t="s">
        <v>42</v>
      </c>
      <c r="B1" s="116"/>
      <c r="C1" s="116"/>
      <c r="D1" s="116"/>
      <c r="E1" s="116"/>
    </row>
    <row r="2" spans="1:5" ht="19.5">
      <c r="A2" s="117" t="s">
        <v>128</v>
      </c>
      <c r="B2" s="117"/>
      <c r="C2" s="117"/>
      <c r="D2" s="117"/>
      <c r="E2" s="117"/>
    </row>
    <row r="3" spans="1:5" ht="30">
      <c r="C3" s="7"/>
      <c r="D3" s="7" t="s">
        <v>33</v>
      </c>
    </row>
    <row r="5" spans="1:5" ht="120">
      <c r="A5" s="4" t="s">
        <v>11</v>
      </c>
      <c r="B5" s="4" t="s">
        <v>12</v>
      </c>
      <c r="C5" s="4" t="s">
        <v>47</v>
      </c>
      <c r="D5" s="4" t="s">
        <v>129</v>
      </c>
      <c r="E5" s="4" t="s">
        <v>130</v>
      </c>
    </row>
    <row r="6" spans="1:5">
      <c r="A6" s="2">
        <v>601</v>
      </c>
      <c r="B6" s="1" t="str">
        <f>'2.2. неис. БА в части местн.'!B6</f>
        <v>Администрация города Ставрополя</v>
      </c>
      <c r="C6" s="11">
        <v>3827430.01</v>
      </c>
      <c r="D6" s="11">
        <v>3243329.72</v>
      </c>
      <c r="E6" s="6">
        <f t="shared" ref="E6:E19" si="0">ROUND(100*(D6-C6)/C6,2)</f>
        <v>-15.26</v>
      </c>
    </row>
    <row r="7" spans="1:5" ht="30">
      <c r="A7" s="1">
        <v>602</v>
      </c>
      <c r="B7" s="1" t="str">
        <f>'2.2. неис. БА в части местн.'!B7</f>
        <v>Комитет по управлению муниципальным имуществом города Ставрополя</v>
      </c>
      <c r="C7" s="11">
        <v>3761.02</v>
      </c>
      <c r="D7" s="11">
        <v>25947.01</v>
      </c>
      <c r="E7" s="6">
        <f t="shared" si="0"/>
        <v>589.89</v>
      </c>
    </row>
    <row r="8" spans="1:5" ht="30">
      <c r="A8" s="1">
        <v>604</v>
      </c>
      <c r="B8" s="1" t="str">
        <f>'2.2. неис. БА в части местн.'!B8</f>
        <v>Комитет финансов и бюджета администрации города Ставрополя</v>
      </c>
      <c r="C8" s="11">
        <v>558658.81999999995</v>
      </c>
      <c r="D8" s="11">
        <v>873975.31</v>
      </c>
      <c r="E8" s="6">
        <f t="shared" si="0"/>
        <v>56.44</v>
      </c>
    </row>
    <row r="9" spans="1:5" ht="30">
      <c r="A9" s="1">
        <v>605</v>
      </c>
      <c r="B9" s="1" t="s">
        <v>4</v>
      </c>
      <c r="C9" s="11">
        <v>200894.91</v>
      </c>
      <c r="D9" s="11">
        <v>312365.56</v>
      </c>
      <c r="E9" s="6">
        <f t="shared" si="0"/>
        <v>55.49</v>
      </c>
    </row>
    <row r="10" spans="1:5" ht="30">
      <c r="A10" s="1">
        <v>606</v>
      </c>
      <c r="B10" s="1" t="str">
        <f>'2.2. неис. БА в части местн.'!B10</f>
        <v>Комитет образования администрации города Ставрополя</v>
      </c>
      <c r="C10" s="11">
        <v>218384.05</v>
      </c>
      <c r="D10" s="11">
        <v>255918.07</v>
      </c>
      <c r="E10" s="6">
        <f t="shared" si="0"/>
        <v>17.190000000000001</v>
      </c>
    </row>
    <row r="11" spans="1:5" ht="30">
      <c r="A11" s="1">
        <v>607</v>
      </c>
      <c r="B11" s="1" t="str">
        <f>'2.2. неис. БА в части местн.'!B11</f>
        <v>Комитет культуры администрации города Ставрополя</v>
      </c>
      <c r="C11" s="11">
        <v>127622.2</v>
      </c>
      <c r="D11" s="11">
        <v>119538.92</v>
      </c>
      <c r="E11" s="6">
        <f t="shared" si="0"/>
        <v>-6.33</v>
      </c>
    </row>
    <row r="12" spans="1:5" ht="45">
      <c r="A12" s="1">
        <v>609</v>
      </c>
      <c r="B12" s="1" t="str">
        <f>'2.2. неис. БА в части местн.'!B12</f>
        <v>Комитет труда и социальной защиты населения администрации города Ставрополя</v>
      </c>
      <c r="C12" s="11">
        <v>149078.39000000001</v>
      </c>
      <c r="D12" s="11">
        <v>197018.04</v>
      </c>
      <c r="E12" s="6">
        <f t="shared" si="0"/>
        <v>32.159999999999997</v>
      </c>
    </row>
    <row r="13" spans="1:5" ht="45">
      <c r="A13" s="1">
        <v>611</v>
      </c>
      <c r="B13" s="1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11">
        <v>318733.39</v>
      </c>
      <c r="D13" s="11">
        <v>192182.42</v>
      </c>
      <c r="E13" s="6">
        <f t="shared" si="0"/>
        <v>-39.700000000000003</v>
      </c>
    </row>
    <row r="14" spans="1:5" ht="30">
      <c r="A14" s="1">
        <v>617</v>
      </c>
      <c r="B14" s="1" t="str">
        <f>'2.2. неис. БА в части местн.'!B14</f>
        <v>Администрация Ленинского района города Ставрополя</v>
      </c>
      <c r="C14" s="11">
        <v>22725.53</v>
      </c>
      <c r="D14" s="11">
        <v>89971.71</v>
      </c>
      <c r="E14" s="6">
        <f t="shared" si="0"/>
        <v>295.91000000000003</v>
      </c>
    </row>
    <row r="15" spans="1:5" ht="30">
      <c r="A15" s="1">
        <v>618</v>
      </c>
      <c r="B15" s="1" t="str">
        <f>'2.2. неис. БА в части местн.'!B15</f>
        <v>Администрация Октябрьского района города Ставрополя</v>
      </c>
      <c r="C15" s="11">
        <v>1090956.77</v>
      </c>
      <c r="D15" s="11">
        <v>781576.67</v>
      </c>
      <c r="E15" s="6">
        <f t="shared" si="0"/>
        <v>-28.36</v>
      </c>
    </row>
    <row r="16" spans="1:5" ht="30">
      <c r="A16" s="1">
        <v>619</v>
      </c>
      <c r="B16" s="1" t="str">
        <f>'2.2. неис. БА в части местн.'!B16</f>
        <v>Администрация Промышленного района города Ставрополя</v>
      </c>
      <c r="C16" s="11">
        <v>101432.13</v>
      </c>
      <c r="D16" s="11">
        <v>226984.25</v>
      </c>
      <c r="E16" s="6">
        <f t="shared" si="0"/>
        <v>123.78</v>
      </c>
    </row>
    <row r="17" spans="1:5" ht="30">
      <c r="A17" s="1">
        <v>620</v>
      </c>
      <c r="B17" s="1" t="str">
        <f>'2.2. неис. БА в части местн.'!B17</f>
        <v>Комитет городского хозяйства администрации города Ставрополя</v>
      </c>
      <c r="C17" s="11">
        <v>6779911.0599999996</v>
      </c>
      <c r="D17" s="11">
        <v>2244069.36</v>
      </c>
      <c r="E17" s="6">
        <f t="shared" si="0"/>
        <v>-66.900000000000006</v>
      </c>
    </row>
    <row r="18" spans="1:5" ht="30">
      <c r="A18" s="1">
        <v>621</v>
      </c>
      <c r="B18" s="1" t="str">
        <f>'2.2. неис. БА в части местн.'!B18</f>
        <v>Комитет градостроительства администрации города Ставрополя</v>
      </c>
      <c r="C18" s="11">
        <v>395070.92</v>
      </c>
      <c r="D18" s="11">
        <v>420667.41</v>
      </c>
      <c r="E18" s="6">
        <f t="shared" si="0"/>
        <v>6.48</v>
      </c>
    </row>
    <row r="19" spans="1:5" ht="45">
      <c r="A19" s="3">
        <v>624</v>
      </c>
      <c r="B19" s="1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11">
        <v>3365704.41</v>
      </c>
      <c r="D19" s="11">
        <v>3670028.79</v>
      </c>
      <c r="E19" s="6">
        <f t="shared" si="0"/>
        <v>9.0399999999999991</v>
      </c>
    </row>
    <row r="20" spans="1:5">
      <c r="C20" s="60">
        <f>SUM(C6:C19)</f>
        <v>17160363.609999999</v>
      </c>
      <c r="D20" s="60">
        <f>SUM(D6:D19)</f>
        <v>12653573.239999998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35433070866141736" right="0.19685039370078741" top="0.74803149606299213" bottom="0.74803149606299213" header="0.31496062992125984" footer="0.31496062992125984"/>
  <pageSetup paperSize="9" scale="81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 codeName="Лист23">
    <tabColor rgb="FFFF9999"/>
  </sheetPr>
  <dimension ref="A1:E19"/>
  <sheetViews>
    <sheetView view="pageBreakPreview" zoomScale="84" zoomScaleNormal="75" zoomScaleSheetLayoutView="84" workbookViewId="0">
      <selection activeCell="C10" sqref="C10"/>
    </sheetView>
  </sheetViews>
  <sheetFormatPr defaultColWidth="9.140625" defaultRowHeight="15"/>
  <cols>
    <col min="1" max="1" width="8.42578125" style="52" customWidth="1"/>
    <col min="2" max="2" width="41.140625" style="24" customWidth="1"/>
    <col min="3" max="3" width="24.85546875" style="24" customWidth="1"/>
    <col min="4" max="4" width="26.140625" style="24" customWidth="1"/>
    <col min="5" max="5" width="13.140625" style="57" customWidth="1"/>
    <col min="6" max="16384" width="9.140625" style="24"/>
  </cols>
  <sheetData>
    <row r="1" spans="1:5" s="53" customFormat="1" ht="20.45" customHeight="1">
      <c r="A1" s="127" t="s">
        <v>48</v>
      </c>
      <c r="B1" s="127"/>
      <c r="C1" s="127"/>
      <c r="D1" s="127"/>
      <c r="E1" s="127"/>
    </row>
    <row r="2" spans="1:5" ht="19.5">
      <c r="A2" s="128" t="s">
        <v>49</v>
      </c>
      <c r="B2" s="128"/>
      <c r="C2" s="128"/>
      <c r="D2" s="128"/>
      <c r="E2" s="128"/>
    </row>
    <row r="3" spans="1:5" ht="30">
      <c r="C3" s="52" t="s">
        <v>33</v>
      </c>
      <c r="D3" s="52" t="s">
        <v>33</v>
      </c>
    </row>
    <row r="5" spans="1:5" ht="105">
      <c r="A5" s="4" t="s">
        <v>11</v>
      </c>
      <c r="B5" s="4" t="s">
        <v>12</v>
      </c>
      <c r="C5" s="4" t="s">
        <v>51</v>
      </c>
      <c r="D5" s="4" t="s">
        <v>52</v>
      </c>
      <c r="E5" s="4" t="s">
        <v>15</v>
      </c>
    </row>
    <row r="6" spans="1:5">
      <c r="A6" s="2">
        <v>601</v>
      </c>
      <c r="B6" s="1" t="str">
        <f>'2.2. неис. БА в части местн.'!B6</f>
        <v>Администрация города Ставрополя</v>
      </c>
      <c r="C6" s="82" t="s">
        <v>172</v>
      </c>
      <c r="D6" s="82"/>
      <c r="E6" s="83">
        <v>5</v>
      </c>
    </row>
    <row r="7" spans="1:5" ht="30">
      <c r="A7" s="79">
        <v>602</v>
      </c>
      <c r="B7" s="79" t="str">
        <f>'2.2. неис. БА в части местн.'!B7</f>
        <v>Комитет по управлению муниципальным имуществом города Ставрополя</v>
      </c>
      <c r="C7" s="80"/>
      <c r="D7" s="80"/>
      <c r="E7" s="81"/>
    </row>
    <row r="8" spans="1:5" ht="30">
      <c r="A8" s="79">
        <v>604</v>
      </c>
      <c r="B8" s="79" t="str">
        <f>'2.2. неис. БА в части местн.'!B8</f>
        <v>Комитет финансов и бюджета администрации города Ставрополя</v>
      </c>
      <c r="C8" s="80"/>
      <c r="D8" s="80"/>
      <c r="E8" s="81"/>
    </row>
    <row r="9" spans="1:5" ht="30">
      <c r="A9" s="79">
        <v>605</v>
      </c>
      <c r="B9" s="79" t="s">
        <v>4</v>
      </c>
      <c r="C9" s="80"/>
      <c r="D9" s="80"/>
      <c r="E9" s="81"/>
    </row>
    <row r="10" spans="1:5" ht="30">
      <c r="A10" s="1">
        <v>606</v>
      </c>
      <c r="B10" s="1" t="str">
        <f>'2.2. неис. БА в части местн.'!B10</f>
        <v>Комитет образования администрации города Ставрополя</v>
      </c>
      <c r="C10" s="82" t="s">
        <v>172</v>
      </c>
      <c r="D10" s="75"/>
      <c r="E10" s="76">
        <v>5</v>
      </c>
    </row>
    <row r="11" spans="1:5" ht="30">
      <c r="A11" s="1">
        <v>607</v>
      </c>
      <c r="B11" s="1" t="str">
        <f>'2.2. неис. БА в части местн.'!B11</f>
        <v>Комитет культуры администрации города Ставрополя</v>
      </c>
      <c r="C11" s="75" t="s">
        <v>172</v>
      </c>
      <c r="D11" s="75"/>
      <c r="E11" s="76">
        <v>5</v>
      </c>
    </row>
    <row r="12" spans="1:5" ht="45">
      <c r="A12" s="79">
        <v>609</v>
      </c>
      <c r="B12" s="79" t="str">
        <f>'2.2. неис. БА в части местн.'!B12</f>
        <v>Комитет труда и социальной защиты населения администрации города Ставрополя</v>
      </c>
      <c r="C12" s="80"/>
      <c r="D12" s="80"/>
      <c r="E12" s="81"/>
    </row>
    <row r="13" spans="1:5" ht="45">
      <c r="A13" s="1">
        <v>611</v>
      </c>
      <c r="B13" s="1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75" t="s">
        <v>172</v>
      </c>
      <c r="D13" s="75"/>
      <c r="E13" s="76">
        <v>5</v>
      </c>
    </row>
    <row r="14" spans="1:5" ht="30">
      <c r="A14" s="79">
        <v>617</v>
      </c>
      <c r="B14" s="79" t="str">
        <f>'2.2. неис. БА в части местн.'!B14</f>
        <v>Администрация Ленинского района города Ставрополя</v>
      </c>
      <c r="C14" s="80"/>
      <c r="D14" s="80"/>
      <c r="E14" s="81"/>
    </row>
    <row r="15" spans="1:5" ht="30">
      <c r="A15" s="79">
        <v>618</v>
      </c>
      <c r="B15" s="79" t="str">
        <f>'2.2. неис. БА в части местн.'!B15</f>
        <v>Администрация Октябрьского района города Ставрополя</v>
      </c>
      <c r="C15" s="80"/>
      <c r="D15" s="80"/>
      <c r="E15" s="81"/>
    </row>
    <row r="16" spans="1:5" ht="30">
      <c r="A16" s="79">
        <v>619</v>
      </c>
      <c r="B16" s="79" t="str">
        <f>'2.2. неис. БА в части местн.'!B16</f>
        <v>Администрация Промышленного района города Ставрополя</v>
      </c>
      <c r="C16" s="80"/>
      <c r="D16" s="80"/>
      <c r="E16" s="81"/>
    </row>
    <row r="17" spans="1:5" ht="30">
      <c r="A17" s="1">
        <v>620</v>
      </c>
      <c r="B17" s="1" t="str">
        <f>'2.2. неис. БА в части местн.'!B17</f>
        <v>Комитет городского хозяйства администрации города Ставрополя</v>
      </c>
      <c r="C17" s="75" t="s">
        <v>172</v>
      </c>
      <c r="D17" s="75"/>
      <c r="E17" s="76">
        <v>5</v>
      </c>
    </row>
    <row r="18" spans="1:5" ht="30">
      <c r="A18" s="79">
        <v>621</v>
      </c>
      <c r="B18" s="79" t="str">
        <f>'2.2. неис. БА в части местн.'!B18</f>
        <v>Комитет градостроительства администрации города Ставрополя</v>
      </c>
      <c r="C18" s="80"/>
      <c r="D18" s="80"/>
      <c r="E18" s="81"/>
    </row>
    <row r="19" spans="1:5" ht="45">
      <c r="A19" s="3">
        <v>624</v>
      </c>
      <c r="B19" s="1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75" t="s">
        <v>172</v>
      </c>
      <c r="D19" s="75"/>
      <c r="E19" s="76">
        <v>5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51181102362204722" right="0.19685039370078741" top="0.74803149606299213" bottom="0.74803149606299213" header="0.31496062992125984" footer="0.31496062992125984"/>
  <pageSetup paperSize="9" scale="8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codeName="Лист24">
    <tabColor rgb="FF00B0F0"/>
  </sheetPr>
  <dimension ref="A1:F19"/>
  <sheetViews>
    <sheetView view="pageBreakPreview" zoomScale="84" zoomScaleNormal="75" zoomScaleSheetLayoutView="84" workbookViewId="0">
      <selection activeCell="A18" sqref="A18:F18"/>
    </sheetView>
  </sheetViews>
  <sheetFormatPr defaultColWidth="9.140625" defaultRowHeight="15"/>
  <cols>
    <col min="1" max="1" width="8.42578125" style="52" customWidth="1"/>
    <col min="2" max="2" width="41.140625" style="24" customWidth="1"/>
    <col min="3" max="3" width="24.85546875" style="24" customWidth="1"/>
    <col min="4" max="5" width="26.140625" style="24" customWidth="1"/>
    <col min="6" max="6" width="13.140625" style="24" customWidth="1"/>
    <col min="7" max="16384" width="9.140625" style="24"/>
  </cols>
  <sheetData>
    <row r="1" spans="1:6" s="53" customFormat="1" ht="20.45" customHeight="1">
      <c r="A1" s="127" t="s">
        <v>48</v>
      </c>
      <c r="B1" s="127"/>
      <c r="C1" s="127"/>
      <c r="D1" s="127"/>
      <c r="E1" s="127"/>
      <c r="F1" s="127"/>
    </row>
    <row r="2" spans="1:6" ht="19.5">
      <c r="A2" s="128" t="s">
        <v>50</v>
      </c>
      <c r="B2" s="128"/>
      <c r="C2" s="128"/>
      <c r="D2" s="128"/>
      <c r="E2" s="128"/>
      <c r="F2" s="128"/>
    </row>
    <row r="3" spans="1:6" ht="30">
      <c r="C3" s="52" t="s">
        <v>33</v>
      </c>
      <c r="D3" s="52" t="s">
        <v>33</v>
      </c>
      <c r="E3" s="52"/>
    </row>
    <row r="5" spans="1:6" ht="180">
      <c r="A5" s="4" t="s">
        <v>11</v>
      </c>
      <c r="B5" s="4" t="s">
        <v>12</v>
      </c>
      <c r="C5" s="4" t="s">
        <v>131</v>
      </c>
      <c r="D5" s="4" t="s">
        <v>55</v>
      </c>
      <c r="E5" s="4" t="s">
        <v>56</v>
      </c>
      <c r="F5" s="4" t="s">
        <v>15</v>
      </c>
    </row>
    <row r="6" spans="1:6">
      <c r="A6" s="2">
        <v>601</v>
      </c>
      <c r="B6" s="1" t="str">
        <f>'2.2. неис. БА в части местн.'!B6</f>
        <v>Администрация города Ставрополя</v>
      </c>
      <c r="C6" s="75"/>
      <c r="D6" s="75"/>
      <c r="E6" s="75">
        <v>0</v>
      </c>
      <c r="F6" s="68">
        <v>0</v>
      </c>
    </row>
    <row r="7" spans="1:6" ht="30">
      <c r="A7" s="79">
        <v>602</v>
      </c>
      <c r="B7" s="79" t="str">
        <f>'2.2. неис. БА в части местн.'!B7</f>
        <v>Комитет по управлению муниципальным имуществом города Ставрополя</v>
      </c>
      <c r="C7" s="80"/>
      <c r="D7" s="80"/>
      <c r="E7" s="80"/>
      <c r="F7" s="84"/>
    </row>
    <row r="8" spans="1:6" ht="30">
      <c r="A8" s="79">
        <v>604</v>
      </c>
      <c r="B8" s="79" t="str">
        <f>'2.2. неис. БА в части местн.'!B8</f>
        <v>Комитет финансов и бюджета администрации города Ставрополя</v>
      </c>
      <c r="C8" s="80"/>
      <c r="D8" s="80"/>
      <c r="E8" s="80"/>
      <c r="F8" s="84"/>
    </row>
    <row r="9" spans="1:6" ht="30">
      <c r="A9" s="79">
        <v>605</v>
      </c>
      <c r="B9" s="79" t="s">
        <v>4</v>
      </c>
      <c r="C9" s="80"/>
      <c r="D9" s="80"/>
      <c r="E9" s="80"/>
      <c r="F9" s="84"/>
    </row>
    <row r="10" spans="1:6" ht="30">
      <c r="A10" s="1">
        <v>606</v>
      </c>
      <c r="B10" s="1" t="str">
        <f>'2.2. неис. БА в части местн.'!B10</f>
        <v>Комитет образования администрации города Ставрополя</v>
      </c>
      <c r="C10" s="75" t="s">
        <v>172</v>
      </c>
      <c r="D10" s="82"/>
      <c r="E10" s="75"/>
      <c r="F10" s="68">
        <v>5</v>
      </c>
    </row>
    <row r="11" spans="1:6" ht="30">
      <c r="A11" s="1">
        <v>607</v>
      </c>
      <c r="B11" s="1" t="str">
        <f>'2.2. неис. БА в части местн.'!B11</f>
        <v>Комитет культуры администрации города Ставрополя</v>
      </c>
      <c r="C11" s="75" t="s">
        <v>172</v>
      </c>
      <c r="D11" s="75"/>
      <c r="E11" s="75"/>
      <c r="F11" s="68">
        <v>5</v>
      </c>
    </row>
    <row r="12" spans="1:6" ht="45">
      <c r="A12" s="79">
        <v>609</v>
      </c>
      <c r="B12" s="79" t="str">
        <f>'2.2. неис. БА в части местн.'!B12</f>
        <v>Комитет труда и социальной защиты населения администрации города Ставрополя</v>
      </c>
      <c r="C12" s="80"/>
      <c r="D12" s="80"/>
      <c r="E12" s="80"/>
      <c r="F12" s="84"/>
    </row>
    <row r="13" spans="1:6" ht="45">
      <c r="A13" s="1">
        <v>611</v>
      </c>
      <c r="B13" s="1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75"/>
      <c r="D13" s="75"/>
      <c r="E13" s="75">
        <v>0</v>
      </c>
      <c r="F13" s="68">
        <v>0</v>
      </c>
    </row>
    <row r="14" spans="1:6" ht="30">
      <c r="A14" s="79">
        <v>617</v>
      </c>
      <c r="B14" s="79" t="str">
        <f>'2.2. неис. БА в части местн.'!B14</f>
        <v>Администрация Ленинского района города Ставрополя</v>
      </c>
      <c r="C14" s="80"/>
      <c r="D14" s="80"/>
      <c r="E14" s="80"/>
      <c r="F14" s="84"/>
    </row>
    <row r="15" spans="1:6" ht="30">
      <c r="A15" s="79">
        <v>618</v>
      </c>
      <c r="B15" s="79" t="str">
        <f>'2.2. неис. БА в части местн.'!B15</f>
        <v>Администрация Октябрьского района города Ставрополя</v>
      </c>
      <c r="C15" s="80"/>
      <c r="D15" s="80"/>
      <c r="E15" s="80"/>
      <c r="F15" s="84"/>
    </row>
    <row r="16" spans="1:6" ht="30">
      <c r="A16" s="79">
        <v>619</v>
      </c>
      <c r="B16" s="79" t="str">
        <f>'2.2. неис. БА в части местн.'!B16</f>
        <v>Администрация Промышленного района города Ставрополя</v>
      </c>
      <c r="C16" s="80"/>
      <c r="D16" s="80"/>
      <c r="E16" s="80"/>
      <c r="F16" s="84"/>
    </row>
    <row r="17" spans="1:6" ht="30">
      <c r="A17" s="1">
        <v>620</v>
      </c>
      <c r="B17" s="1" t="str">
        <f>'2.2. неис. БА в части местн.'!B17</f>
        <v>Комитет городского хозяйства администрации города Ставрополя</v>
      </c>
      <c r="C17" s="75" t="s">
        <v>172</v>
      </c>
      <c r="D17" s="75"/>
      <c r="E17" s="75"/>
      <c r="F17" s="68">
        <v>5</v>
      </c>
    </row>
    <row r="18" spans="1:6" ht="30">
      <c r="A18" s="79">
        <v>621</v>
      </c>
      <c r="B18" s="79" t="str">
        <f>'2.2. неис. БА в части местн.'!B18</f>
        <v>Комитет градостроительства администрации города Ставрополя</v>
      </c>
      <c r="C18" s="80"/>
      <c r="D18" s="80"/>
      <c r="E18" s="80"/>
      <c r="F18" s="84"/>
    </row>
    <row r="19" spans="1:6" ht="45">
      <c r="A19" s="3">
        <v>624</v>
      </c>
      <c r="B19" s="1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75" t="s">
        <v>172</v>
      </c>
      <c r="D19" s="75"/>
      <c r="E19" s="75"/>
      <c r="F19" s="68">
        <v>5</v>
      </c>
    </row>
  </sheetData>
  <mergeCells count="2">
    <mergeCell ref="A1:F1"/>
    <mergeCell ref="A2:F2"/>
  </mergeCells>
  <pageMargins left="0.51181102362204722" right="0.19685039370078741" top="0.74803149606299213" bottom="0.74803149606299213" header="0.31496062992125984" footer="0.31496062992125984"/>
  <pageSetup paperSize="9" scale="68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 codeName="Лист25">
    <tabColor rgb="FF99FF99"/>
  </sheetPr>
  <dimension ref="A1:L20"/>
  <sheetViews>
    <sheetView topLeftCell="F1" zoomScale="86" zoomScaleNormal="86" zoomScaleSheetLayoutView="33" workbookViewId="0">
      <selection activeCell="D24" sqref="D24"/>
    </sheetView>
  </sheetViews>
  <sheetFormatPr defaultColWidth="9.140625" defaultRowHeight="15"/>
  <cols>
    <col min="1" max="1" width="8.42578125" style="7" customWidth="1"/>
    <col min="2" max="2" width="41.140625" style="5" customWidth="1"/>
    <col min="3" max="7" width="24.85546875" style="5" customWidth="1"/>
    <col min="8" max="10" width="26.140625" style="5" customWidth="1"/>
    <col min="11" max="11" width="21.140625" style="5" customWidth="1"/>
    <col min="12" max="12" width="13.140625" style="5" customWidth="1"/>
    <col min="13" max="16384" width="9.140625" style="5"/>
  </cols>
  <sheetData>
    <row r="1" spans="1:12" s="8" customFormat="1" ht="20.45" customHeight="1">
      <c r="A1" s="116" t="s">
        <v>48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2" ht="19.5">
      <c r="A2" s="117" t="s">
        <v>57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2" ht="30">
      <c r="B3" s="7"/>
      <c r="C3" s="7" t="s">
        <v>33</v>
      </c>
      <c r="D3" s="7"/>
      <c r="E3" s="7"/>
      <c r="F3" s="7"/>
      <c r="G3" s="7"/>
      <c r="H3" s="7" t="s">
        <v>33</v>
      </c>
      <c r="I3" s="7"/>
      <c r="J3" s="7"/>
      <c r="K3" s="7"/>
    </row>
    <row r="5" spans="1:12" ht="116.45" customHeight="1">
      <c r="A5" s="4" t="s">
        <v>11</v>
      </c>
      <c r="B5" s="4" t="s">
        <v>12</v>
      </c>
      <c r="C5" s="4" t="s">
        <v>58</v>
      </c>
      <c r="D5" s="4" t="s">
        <v>59</v>
      </c>
      <c r="E5" s="4" t="s">
        <v>60</v>
      </c>
      <c r="F5" s="4" t="s">
        <v>61</v>
      </c>
      <c r="G5" s="4" t="s">
        <v>62</v>
      </c>
      <c r="H5" s="4" t="s">
        <v>63</v>
      </c>
      <c r="I5" s="4" t="s">
        <v>64</v>
      </c>
      <c r="J5" s="4" t="s">
        <v>65</v>
      </c>
      <c r="K5" s="4" t="s">
        <v>66</v>
      </c>
      <c r="L5" s="4" t="s">
        <v>15</v>
      </c>
    </row>
    <row r="6" spans="1:12">
      <c r="A6" s="2">
        <v>601</v>
      </c>
      <c r="B6" s="1" t="str">
        <f>'2.2. неис. БА в части местн.'!B6</f>
        <v>Администрация города Ставрополя</v>
      </c>
      <c r="C6" s="11">
        <v>0</v>
      </c>
      <c r="D6" s="11">
        <v>71560924.480000004</v>
      </c>
      <c r="E6" s="11">
        <v>0</v>
      </c>
      <c r="F6" s="11">
        <v>3243329.72</v>
      </c>
      <c r="G6" s="11">
        <v>0</v>
      </c>
      <c r="H6" s="11">
        <v>0</v>
      </c>
      <c r="I6" s="11">
        <v>113027.5</v>
      </c>
      <c r="J6" s="11">
        <v>0</v>
      </c>
      <c r="K6" s="6">
        <f>ROUND(C6/(D6+E6+F6+G6+H6+I6+J6)*100,2)</f>
        <v>0</v>
      </c>
      <c r="L6" s="6">
        <v>5</v>
      </c>
    </row>
    <row r="7" spans="1:12" ht="30">
      <c r="A7" s="1">
        <v>602</v>
      </c>
      <c r="B7" s="1" t="str">
        <f>'2.2. неис. БА в части местн.'!B7</f>
        <v>Комитет по управлению муниципальным имуществом города Ставрополя</v>
      </c>
      <c r="C7" s="11">
        <v>9909280.7200000007</v>
      </c>
      <c r="D7" s="11">
        <v>5129172.1500000004</v>
      </c>
      <c r="E7" s="11">
        <v>0</v>
      </c>
      <c r="F7" s="11">
        <v>25947.01</v>
      </c>
      <c r="G7" s="11">
        <v>7924896.1200000001</v>
      </c>
      <c r="H7" s="11">
        <v>0</v>
      </c>
      <c r="I7" s="11">
        <v>128269</v>
      </c>
      <c r="J7" s="11">
        <v>141176936</v>
      </c>
      <c r="K7" s="6">
        <f t="shared" ref="K7:K19" si="0">ROUND(C7/(D7+E7+F7+G7+H7+I7+J7)*100,2)</f>
        <v>6.42</v>
      </c>
      <c r="L7" s="6">
        <v>0</v>
      </c>
    </row>
    <row r="8" spans="1:12" ht="30">
      <c r="A8" s="1">
        <v>604</v>
      </c>
      <c r="B8" s="1" t="str">
        <f>'2.2. неис. БА в части местн.'!B8</f>
        <v>Комитет финансов и бюджета администрации города Ставрополя</v>
      </c>
      <c r="C8" s="11">
        <v>0</v>
      </c>
      <c r="D8" s="11">
        <v>774682.58</v>
      </c>
      <c r="E8" s="11">
        <v>0</v>
      </c>
      <c r="F8" s="11">
        <v>873975.31</v>
      </c>
      <c r="G8" s="11">
        <v>0</v>
      </c>
      <c r="H8" s="11">
        <v>0</v>
      </c>
      <c r="I8" s="11">
        <v>0</v>
      </c>
      <c r="J8" s="11">
        <v>0</v>
      </c>
      <c r="K8" s="6">
        <f t="shared" si="0"/>
        <v>0</v>
      </c>
      <c r="L8" s="6">
        <v>5</v>
      </c>
    </row>
    <row r="9" spans="1:12" ht="30">
      <c r="A9" s="1">
        <v>605</v>
      </c>
      <c r="B9" s="1" t="s">
        <v>4</v>
      </c>
      <c r="C9" s="11">
        <v>0</v>
      </c>
      <c r="D9" s="11">
        <v>66766.100000000006</v>
      </c>
      <c r="E9" s="11">
        <v>66499.88</v>
      </c>
      <c r="F9" s="11">
        <v>312365.56</v>
      </c>
      <c r="G9" s="11">
        <v>0</v>
      </c>
      <c r="H9" s="11">
        <v>0</v>
      </c>
      <c r="I9" s="11">
        <v>0</v>
      </c>
      <c r="J9" s="11">
        <v>0</v>
      </c>
      <c r="K9" s="6">
        <f t="shared" si="0"/>
        <v>0</v>
      </c>
      <c r="L9" s="6">
        <v>5</v>
      </c>
    </row>
    <row r="10" spans="1:12" ht="30">
      <c r="A10" s="1">
        <v>606</v>
      </c>
      <c r="B10" s="1" t="str">
        <f>'2.2. неис. БА в части местн.'!B10</f>
        <v>Комитет образования администрации города Ставрополя</v>
      </c>
      <c r="C10" s="11">
        <v>0</v>
      </c>
      <c r="D10" s="11">
        <v>1968357.91</v>
      </c>
      <c r="E10" s="11">
        <v>0</v>
      </c>
      <c r="F10" s="11">
        <v>255918.07</v>
      </c>
      <c r="G10" s="11">
        <v>0</v>
      </c>
      <c r="H10" s="11">
        <v>0</v>
      </c>
      <c r="I10" s="11">
        <v>52991</v>
      </c>
      <c r="J10" s="11">
        <v>15382640088.76</v>
      </c>
      <c r="K10" s="6">
        <f t="shared" si="0"/>
        <v>0</v>
      </c>
      <c r="L10" s="6">
        <v>5</v>
      </c>
    </row>
    <row r="11" spans="1:12" ht="30">
      <c r="A11" s="1">
        <v>607</v>
      </c>
      <c r="B11" s="1" t="str">
        <f>'2.2. неис. БА в части местн.'!B11</f>
        <v>Комитет культуры администрации города Ставрополя</v>
      </c>
      <c r="C11" s="11">
        <v>0</v>
      </c>
      <c r="D11" s="11">
        <v>8074827.1200000001</v>
      </c>
      <c r="E11" s="11">
        <v>0</v>
      </c>
      <c r="F11" s="11">
        <v>119538.92</v>
      </c>
      <c r="G11" s="11">
        <v>0</v>
      </c>
      <c r="H11" s="11">
        <v>0</v>
      </c>
      <c r="I11" s="11">
        <v>0</v>
      </c>
      <c r="J11" s="11">
        <v>833113940.71000004</v>
      </c>
      <c r="K11" s="6">
        <f t="shared" si="0"/>
        <v>0</v>
      </c>
      <c r="L11" s="6">
        <v>5</v>
      </c>
    </row>
    <row r="12" spans="1:12" ht="45">
      <c r="A12" s="1">
        <v>609</v>
      </c>
      <c r="B12" s="1" t="str">
        <f>'2.2. неис. БА в части местн.'!B12</f>
        <v>Комитет труда и социальной защиты населения администрации города Ставрополя</v>
      </c>
      <c r="C12" s="11">
        <v>0</v>
      </c>
      <c r="D12" s="11">
        <v>6867335.7999999998</v>
      </c>
      <c r="E12" s="11">
        <v>0</v>
      </c>
      <c r="F12" s="11">
        <v>197018.04</v>
      </c>
      <c r="G12" s="11">
        <v>0</v>
      </c>
      <c r="H12" s="11">
        <v>0</v>
      </c>
      <c r="I12" s="11">
        <v>0</v>
      </c>
      <c r="J12" s="11">
        <v>0</v>
      </c>
      <c r="K12" s="6">
        <f t="shared" si="0"/>
        <v>0</v>
      </c>
      <c r="L12" s="6">
        <v>5</v>
      </c>
    </row>
    <row r="13" spans="1:12" ht="45">
      <c r="A13" s="1">
        <v>611</v>
      </c>
      <c r="B13" s="1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11">
        <v>2800</v>
      </c>
      <c r="D13" s="11">
        <v>1345997.22</v>
      </c>
      <c r="E13" s="11">
        <v>0</v>
      </c>
      <c r="F13" s="11">
        <v>192182.42</v>
      </c>
      <c r="G13" s="11">
        <v>0</v>
      </c>
      <c r="H13" s="11">
        <v>0</v>
      </c>
      <c r="I13" s="11">
        <v>0</v>
      </c>
      <c r="J13" s="11">
        <v>775540635.83000004</v>
      </c>
      <c r="K13" s="6">
        <f t="shared" si="0"/>
        <v>0</v>
      </c>
      <c r="L13" s="6">
        <v>5</v>
      </c>
    </row>
    <row r="14" spans="1:12" ht="30">
      <c r="A14" s="1">
        <v>617</v>
      </c>
      <c r="B14" s="1" t="str">
        <f>'2.2. неис. БА в части местн.'!B14</f>
        <v>Администрация Ленинского района города Ставрополя</v>
      </c>
      <c r="C14" s="11">
        <v>0</v>
      </c>
      <c r="D14" s="11">
        <v>2788189.31</v>
      </c>
      <c r="E14" s="11">
        <v>0</v>
      </c>
      <c r="F14" s="11">
        <v>89971.71</v>
      </c>
      <c r="G14" s="11">
        <v>0</v>
      </c>
      <c r="H14" s="11">
        <v>0</v>
      </c>
      <c r="I14" s="11">
        <v>0</v>
      </c>
      <c r="J14" s="11">
        <v>0</v>
      </c>
      <c r="K14" s="6">
        <f t="shared" si="0"/>
        <v>0</v>
      </c>
      <c r="L14" s="6">
        <v>5</v>
      </c>
    </row>
    <row r="15" spans="1:12" ht="30">
      <c r="A15" s="1">
        <v>618</v>
      </c>
      <c r="B15" s="1" t="str">
        <f>'2.2. неис. БА в части местн.'!B15</f>
        <v>Администрация Октябрьского района города Ставрополя</v>
      </c>
      <c r="C15" s="11">
        <v>0</v>
      </c>
      <c r="D15" s="11">
        <v>1431754.37</v>
      </c>
      <c r="E15" s="11">
        <v>0</v>
      </c>
      <c r="F15" s="11">
        <v>781576.67</v>
      </c>
      <c r="G15" s="11">
        <v>0</v>
      </c>
      <c r="H15" s="11">
        <v>0</v>
      </c>
      <c r="I15" s="11">
        <v>62173</v>
      </c>
      <c r="J15" s="11">
        <v>0</v>
      </c>
      <c r="K15" s="6">
        <f t="shared" si="0"/>
        <v>0</v>
      </c>
      <c r="L15" s="6">
        <v>5</v>
      </c>
    </row>
    <row r="16" spans="1:12" ht="30">
      <c r="A16" s="1">
        <v>619</v>
      </c>
      <c r="B16" s="1" t="str">
        <f>'2.2. неис. БА в части местн.'!B16</f>
        <v>Администрация Промышленного района города Ставрополя</v>
      </c>
      <c r="C16" s="11">
        <v>15833.08</v>
      </c>
      <c r="D16" s="11">
        <v>11346103.939999999</v>
      </c>
      <c r="E16" s="11">
        <v>0</v>
      </c>
      <c r="F16" s="11">
        <v>226984.25</v>
      </c>
      <c r="G16" s="11">
        <v>5181317.7</v>
      </c>
      <c r="H16" s="11">
        <v>0</v>
      </c>
      <c r="I16" s="11">
        <v>0</v>
      </c>
      <c r="J16" s="11">
        <v>0</v>
      </c>
      <c r="K16" s="6">
        <f t="shared" si="0"/>
        <v>0.09</v>
      </c>
      <c r="L16" s="6">
        <v>3</v>
      </c>
    </row>
    <row r="17" spans="1:12" ht="30">
      <c r="A17" s="1">
        <v>620</v>
      </c>
      <c r="B17" s="1" t="str">
        <f>'2.2. неис. БА в части местн.'!B17</f>
        <v>Комитет городского хозяйства администрации города Ставрополя</v>
      </c>
      <c r="C17" s="11">
        <v>373894</v>
      </c>
      <c r="D17" s="11">
        <v>956451.01</v>
      </c>
      <c r="E17" s="11">
        <v>0</v>
      </c>
      <c r="F17" s="11">
        <v>2244069.36</v>
      </c>
      <c r="G17" s="11">
        <v>1161314361.1600001</v>
      </c>
      <c r="H17" s="11">
        <v>0</v>
      </c>
      <c r="I17" s="11">
        <v>0</v>
      </c>
      <c r="J17" s="11">
        <v>6798694.0999999996</v>
      </c>
      <c r="K17" s="6">
        <f t="shared" si="0"/>
        <v>0.03</v>
      </c>
      <c r="L17" s="6">
        <v>4</v>
      </c>
    </row>
    <row r="18" spans="1:12" ht="30">
      <c r="A18" s="1">
        <v>621</v>
      </c>
      <c r="B18" s="1" t="str">
        <f>'2.2. неис. БА в части местн.'!B18</f>
        <v>Комитет градостроительства администрации города Ставрополя</v>
      </c>
      <c r="C18" s="11">
        <v>0</v>
      </c>
      <c r="D18" s="11">
        <v>8579788.3900000006</v>
      </c>
      <c r="E18" s="11">
        <v>2861500</v>
      </c>
      <c r="F18" s="11">
        <v>420667.41</v>
      </c>
      <c r="G18" s="11">
        <v>363338249.18000001</v>
      </c>
      <c r="H18" s="11">
        <v>0</v>
      </c>
      <c r="I18" s="11">
        <v>0</v>
      </c>
      <c r="J18" s="11">
        <v>0</v>
      </c>
      <c r="K18" s="6">
        <f t="shared" si="0"/>
        <v>0</v>
      </c>
      <c r="L18" s="6">
        <v>5</v>
      </c>
    </row>
    <row r="19" spans="1:12" ht="45">
      <c r="A19" s="3">
        <v>624</v>
      </c>
      <c r="B19" s="1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11">
        <v>0</v>
      </c>
      <c r="D19" s="11">
        <v>65655272.18</v>
      </c>
      <c r="E19" s="11">
        <v>0</v>
      </c>
      <c r="F19" s="11">
        <v>3670028.79</v>
      </c>
      <c r="G19" s="11">
        <v>0</v>
      </c>
      <c r="H19" s="11">
        <v>0</v>
      </c>
      <c r="I19" s="11">
        <v>0</v>
      </c>
      <c r="J19" s="11">
        <v>0</v>
      </c>
      <c r="K19" s="6">
        <f t="shared" si="0"/>
        <v>0</v>
      </c>
      <c r="L19" s="6">
        <v>5</v>
      </c>
    </row>
    <row r="20" spans="1:12">
      <c r="C20" s="60">
        <f t="shared" ref="C20:J20" si="1">SUM(C6:C19)</f>
        <v>10301807.800000001</v>
      </c>
      <c r="D20" s="60">
        <f t="shared" si="1"/>
        <v>186545622.56</v>
      </c>
      <c r="E20" s="60">
        <f t="shared" si="1"/>
        <v>2927999.88</v>
      </c>
      <c r="F20" s="60">
        <f t="shared" si="1"/>
        <v>12653573.239999998</v>
      </c>
      <c r="G20" s="60">
        <f t="shared" si="1"/>
        <v>1537758824.1600001</v>
      </c>
      <c r="H20" s="60">
        <f t="shared" si="1"/>
        <v>0</v>
      </c>
      <c r="I20" s="60">
        <f t="shared" si="1"/>
        <v>356460.5</v>
      </c>
      <c r="J20" s="60">
        <f t="shared" si="1"/>
        <v>17139270295.400002</v>
      </c>
    </row>
  </sheetData>
  <sheetProtection formatCells="0" formatColumns="0" formatRows="0" insertColumns="0" insertRows="0" insertHyperlinks="0" deleteColumns="0" deleteRows="0" sort="0" autoFilter="0" pivotTables="0"/>
  <sortState ref="A6:L23">
    <sortCondition ref="A6"/>
  </sortState>
  <mergeCells count="2">
    <mergeCell ref="A1:L1"/>
    <mergeCell ref="A2:L2"/>
  </mergeCells>
  <pageMargins left="0.51181102362204722" right="0.19685039370078741" top="0.46" bottom="0.16" header="0.31496062992125984" footer="0.16"/>
  <pageSetup paperSize="9" scale="48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 codeName="Лист26">
    <tabColor rgb="FFFFFF00"/>
  </sheetPr>
  <dimension ref="A1:E19"/>
  <sheetViews>
    <sheetView view="pageBreakPreview" zoomScale="84" zoomScaleNormal="75" zoomScaleSheetLayoutView="84" workbookViewId="0">
      <selection activeCell="E12" sqref="E12"/>
    </sheetView>
  </sheetViews>
  <sheetFormatPr defaultColWidth="9.140625" defaultRowHeight="15"/>
  <cols>
    <col min="1" max="1" width="8.42578125" style="7" customWidth="1"/>
    <col min="2" max="2" width="41.140625" style="5" customWidth="1"/>
    <col min="3" max="3" width="24.85546875" style="5" customWidth="1"/>
    <col min="4" max="4" width="26.140625" style="5" customWidth="1"/>
    <col min="5" max="5" width="13.140625" style="5" customWidth="1"/>
    <col min="6" max="16384" width="9.140625" style="5"/>
  </cols>
  <sheetData>
    <row r="1" spans="1:5" s="8" customFormat="1" ht="20.45" customHeight="1">
      <c r="A1" s="116" t="s">
        <v>67</v>
      </c>
      <c r="B1" s="116"/>
      <c r="C1" s="116"/>
      <c r="D1" s="116"/>
      <c r="E1" s="116"/>
    </row>
    <row r="2" spans="1:5" ht="48.75" customHeight="1">
      <c r="A2" s="117" t="s">
        <v>68</v>
      </c>
      <c r="B2" s="117"/>
      <c r="C2" s="117"/>
      <c r="D2" s="117"/>
      <c r="E2" s="117"/>
    </row>
    <row r="3" spans="1:5" ht="30">
      <c r="C3" s="7" t="s">
        <v>33</v>
      </c>
      <c r="D3" s="7" t="s">
        <v>33</v>
      </c>
    </row>
    <row r="5" spans="1:5" ht="90">
      <c r="A5" s="4" t="s">
        <v>11</v>
      </c>
      <c r="B5" s="4" t="s">
        <v>12</v>
      </c>
      <c r="C5" s="4" t="s">
        <v>132</v>
      </c>
      <c r="D5" s="4" t="s">
        <v>69</v>
      </c>
      <c r="E5" s="4" t="s">
        <v>15</v>
      </c>
    </row>
    <row r="6" spans="1:5">
      <c r="A6" s="78">
        <v>601</v>
      </c>
      <c r="B6" s="79" t="str">
        <f>'2.2. неис. БА в части местн.'!B6</f>
        <v>Администрация города Ставрополя</v>
      </c>
      <c r="C6" s="84"/>
      <c r="D6" s="84"/>
      <c r="E6" s="84"/>
    </row>
    <row r="7" spans="1:5" ht="30">
      <c r="A7" s="79">
        <v>602</v>
      </c>
      <c r="B7" s="79" t="str">
        <f>'2.2. неис. БА в части местн.'!B7</f>
        <v>Комитет по управлению муниципальным имуществом города Ставрополя</v>
      </c>
      <c r="C7" s="84"/>
      <c r="D7" s="84"/>
      <c r="E7" s="84"/>
    </row>
    <row r="8" spans="1:5" ht="30">
      <c r="A8" s="79">
        <v>604</v>
      </c>
      <c r="B8" s="79" t="str">
        <f>'2.2. неис. БА в части местн.'!B8</f>
        <v>Комитет финансов и бюджета администрации города Ставрополя</v>
      </c>
      <c r="C8" s="84"/>
      <c r="D8" s="84"/>
      <c r="E8" s="84"/>
    </row>
    <row r="9" spans="1:5" ht="30">
      <c r="A9" s="79">
        <v>605</v>
      </c>
      <c r="B9" s="79" t="s">
        <v>4</v>
      </c>
      <c r="C9" s="84"/>
      <c r="D9" s="84"/>
      <c r="E9" s="84"/>
    </row>
    <row r="10" spans="1:5" ht="30">
      <c r="A10" s="1">
        <v>606</v>
      </c>
      <c r="B10" s="1" t="str">
        <f>'2.2. неис. БА в части местн.'!B10</f>
        <v>Комитет образования администрации города Ставрополя</v>
      </c>
      <c r="C10" s="75" t="s">
        <v>172</v>
      </c>
      <c r="D10" s="75" t="s">
        <v>173</v>
      </c>
      <c r="E10" s="68">
        <v>5</v>
      </c>
    </row>
    <row r="11" spans="1:5" ht="30">
      <c r="A11" s="1">
        <v>607</v>
      </c>
      <c r="B11" s="1" t="str">
        <f>'2.2. неис. БА в части местн.'!B11</f>
        <v>Комитет культуры администрации города Ставрополя</v>
      </c>
      <c r="C11" s="75" t="s">
        <v>173</v>
      </c>
      <c r="D11" s="75" t="s">
        <v>172</v>
      </c>
      <c r="E11" s="68">
        <v>0</v>
      </c>
    </row>
    <row r="12" spans="1:5" ht="45">
      <c r="A12" s="79">
        <v>609</v>
      </c>
      <c r="B12" s="79" t="str">
        <f>'2.2. неис. БА в части местн.'!B12</f>
        <v>Комитет труда и социальной защиты населения администрации города Ставрополя</v>
      </c>
      <c r="C12" s="84"/>
      <c r="D12" s="84"/>
      <c r="E12" s="84"/>
    </row>
    <row r="13" spans="1:5" ht="45">
      <c r="A13" s="1">
        <v>611</v>
      </c>
      <c r="B13" s="1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75" t="s">
        <v>172</v>
      </c>
      <c r="D13" s="75"/>
      <c r="E13" s="68">
        <v>5</v>
      </c>
    </row>
    <row r="14" spans="1:5" ht="30">
      <c r="A14" s="79">
        <v>617</v>
      </c>
      <c r="B14" s="79" t="str">
        <f>'2.2. неис. БА в части местн.'!B14</f>
        <v>Администрация Ленинского района города Ставрополя</v>
      </c>
      <c r="C14" s="84"/>
      <c r="D14" s="84"/>
      <c r="E14" s="84"/>
    </row>
    <row r="15" spans="1:5" ht="30">
      <c r="A15" s="79">
        <v>618</v>
      </c>
      <c r="B15" s="79" t="str">
        <f>'2.2. неис. БА в части местн.'!B15</f>
        <v>Администрация Октябрьского района города Ставрополя</v>
      </c>
      <c r="C15" s="84"/>
      <c r="D15" s="84"/>
      <c r="E15" s="84"/>
    </row>
    <row r="16" spans="1:5" ht="30">
      <c r="A16" s="79">
        <v>619</v>
      </c>
      <c r="B16" s="79" t="str">
        <f>'2.2. неис. БА в части местн.'!B16</f>
        <v>Администрация Промышленного района города Ставрополя</v>
      </c>
      <c r="C16" s="84"/>
      <c r="D16" s="84"/>
      <c r="E16" s="84"/>
    </row>
    <row r="17" spans="1:5" ht="30">
      <c r="A17" s="1">
        <v>620</v>
      </c>
      <c r="B17" s="1" t="str">
        <f>'2.2. неис. БА в части местн.'!B17</f>
        <v>Комитет городского хозяйства администрации города Ставрополя</v>
      </c>
      <c r="C17" s="75"/>
      <c r="D17" s="75" t="s">
        <v>172</v>
      </c>
      <c r="E17" s="68">
        <v>0</v>
      </c>
    </row>
    <row r="18" spans="1:5" ht="30">
      <c r="A18" s="79">
        <v>621</v>
      </c>
      <c r="B18" s="79" t="str">
        <f>'2.2. неис. БА в части местн.'!B18</f>
        <v>Комитет градостроительства администрации города Ставрополя</v>
      </c>
      <c r="C18" s="84"/>
      <c r="D18" s="84"/>
      <c r="E18" s="84"/>
    </row>
    <row r="19" spans="1:5" ht="45">
      <c r="A19" s="3">
        <v>624</v>
      </c>
      <c r="B19" s="1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75" t="s">
        <v>172</v>
      </c>
      <c r="D19" s="75"/>
      <c r="E19" s="68">
        <v>5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51181102362204722" right="0.19685039370078741" top="0.74803149606299213" bottom="0.74803149606299213" header="0.31496062992125984" footer="0.31496062992125984"/>
  <pageSetup paperSize="9" scale="84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 codeName="Лист27">
    <tabColor rgb="FF7030A0"/>
  </sheetPr>
  <dimension ref="A1:E19"/>
  <sheetViews>
    <sheetView view="pageBreakPreview" topLeftCell="A7" zoomScale="84" zoomScaleNormal="75" zoomScaleSheetLayoutView="84" workbookViewId="0">
      <selection activeCell="C10" sqref="C10"/>
    </sheetView>
  </sheetViews>
  <sheetFormatPr defaultColWidth="9.140625" defaultRowHeight="15"/>
  <cols>
    <col min="1" max="1" width="8.42578125" style="7" customWidth="1"/>
    <col min="2" max="2" width="41.140625" style="5" customWidth="1"/>
    <col min="3" max="3" width="24.85546875" style="5" customWidth="1"/>
    <col min="4" max="4" width="26.140625" style="5" customWidth="1"/>
    <col min="5" max="5" width="13.140625" style="5" customWidth="1"/>
    <col min="6" max="16384" width="9.140625" style="5"/>
  </cols>
  <sheetData>
    <row r="1" spans="1:5" s="8" customFormat="1" ht="20.45" customHeight="1">
      <c r="A1" s="116" t="s">
        <v>67</v>
      </c>
      <c r="B1" s="116"/>
      <c r="C1" s="116"/>
      <c r="D1" s="116"/>
      <c r="E1" s="116"/>
    </row>
    <row r="2" spans="1:5" ht="57" customHeight="1">
      <c r="A2" s="117" t="s">
        <v>70</v>
      </c>
      <c r="B2" s="117"/>
      <c r="C2" s="117"/>
      <c r="D2" s="117"/>
      <c r="E2" s="117"/>
    </row>
    <row r="3" spans="1:5" ht="30">
      <c r="C3" s="7" t="s">
        <v>33</v>
      </c>
      <c r="D3" s="7" t="s">
        <v>33</v>
      </c>
    </row>
    <row r="5" spans="1:5" ht="180">
      <c r="A5" s="4" t="s">
        <v>11</v>
      </c>
      <c r="B5" s="4" t="s">
        <v>12</v>
      </c>
      <c r="C5" s="4" t="s">
        <v>71</v>
      </c>
      <c r="D5" s="4" t="s">
        <v>72</v>
      </c>
      <c r="E5" s="4" t="s">
        <v>15</v>
      </c>
    </row>
    <row r="6" spans="1:5">
      <c r="A6" s="78">
        <v>601</v>
      </c>
      <c r="B6" s="79" t="str">
        <f>'2.2. неис. БА в части местн.'!B6</f>
        <v>Администрация города Ставрополя</v>
      </c>
      <c r="C6" s="84"/>
      <c r="D6" s="84"/>
      <c r="E6" s="84"/>
    </row>
    <row r="7" spans="1:5" ht="30">
      <c r="A7" s="79">
        <v>602</v>
      </c>
      <c r="B7" s="79" t="str">
        <f>'2.2. неис. БА в части местн.'!B7</f>
        <v>Комитет по управлению муниципальным имуществом города Ставрополя</v>
      </c>
      <c r="C7" s="84"/>
      <c r="D7" s="84"/>
      <c r="E7" s="84"/>
    </row>
    <row r="8" spans="1:5" ht="30">
      <c r="A8" s="79">
        <v>604</v>
      </c>
      <c r="B8" s="79" t="str">
        <f>'2.2. неис. БА в части местн.'!B8</f>
        <v>Комитет финансов и бюджета администрации города Ставрополя</v>
      </c>
      <c r="C8" s="84"/>
      <c r="D8" s="84"/>
      <c r="E8" s="84"/>
    </row>
    <row r="9" spans="1:5" ht="30">
      <c r="A9" s="79">
        <v>605</v>
      </c>
      <c r="B9" s="79" t="s">
        <v>4</v>
      </c>
      <c r="C9" s="84"/>
      <c r="D9" s="84"/>
      <c r="E9" s="84"/>
    </row>
    <row r="10" spans="1:5" ht="30">
      <c r="A10" s="1">
        <v>606</v>
      </c>
      <c r="B10" s="1" t="str">
        <f>'2.2. неис. БА в части местн.'!B10</f>
        <v>Комитет образования администрации города Ставрополя</v>
      </c>
      <c r="C10" s="75" t="s">
        <v>172</v>
      </c>
      <c r="D10" s="75" t="s">
        <v>173</v>
      </c>
      <c r="E10" s="68">
        <v>5</v>
      </c>
    </row>
    <row r="11" spans="1:5" ht="30">
      <c r="A11" s="1">
        <v>607</v>
      </c>
      <c r="B11" s="1" t="str">
        <f>'2.2. неис. БА в части местн.'!B11</f>
        <v>Комитет культуры администрации города Ставрополя</v>
      </c>
      <c r="C11" s="75" t="s">
        <v>173</v>
      </c>
      <c r="D11" s="75" t="s">
        <v>172</v>
      </c>
      <c r="E11" s="68"/>
    </row>
    <row r="12" spans="1:5" ht="45">
      <c r="A12" s="79">
        <v>609</v>
      </c>
      <c r="B12" s="79" t="str">
        <f>'2.2. неис. БА в части местн.'!B12</f>
        <v>Комитет труда и социальной защиты населения администрации города Ставрополя</v>
      </c>
      <c r="C12" s="84"/>
      <c r="D12" s="84"/>
      <c r="E12" s="84"/>
    </row>
    <row r="13" spans="1:5" ht="45">
      <c r="A13" s="1">
        <v>611</v>
      </c>
      <c r="B13" s="1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75" t="s">
        <v>172</v>
      </c>
      <c r="D13" s="75"/>
      <c r="E13" s="68">
        <v>5</v>
      </c>
    </row>
    <row r="14" spans="1:5" ht="30">
      <c r="A14" s="79">
        <v>617</v>
      </c>
      <c r="B14" s="79" t="str">
        <f>'2.2. неис. БА в части местн.'!B14</f>
        <v>Администрация Ленинского района города Ставрополя</v>
      </c>
      <c r="C14" s="84"/>
      <c r="D14" s="84"/>
      <c r="E14" s="84"/>
    </row>
    <row r="15" spans="1:5" ht="30">
      <c r="A15" s="79">
        <v>618</v>
      </c>
      <c r="B15" s="79" t="str">
        <f>'2.2. неис. БА в части местн.'!B15</f>
        <v>Администрация Октябрьского района города Ставрополя</v>
      </c>
      <c r="C15" s="84"/>
      <c r="D15" s="84"/>
      <c r="E15" s="84"/>
    </row>
    <row r="16" spans="1:5" ht="30">
      <c r="A16" s="79">
        <v>619</v>
      </c>
      <c r="B16" s="79" t="str">
        <f>'2.2. неис. БА в части местн.'!B16</f>
        <v>Администрация Промышленного района города Ставрополя</v>
      </c>
      <c r="C16" s="84"/>
      <c r="D16" s="84"/>
      <c r="E16" s="84"/>
    </row>
    <row r="17" spans="1:5" ht="30">
      <c r="A17" s="1">
        <v>620</v>
      </c>
      <c r="B17" s="1" t="str">
        <f>'2.2. неис. БА в части местн.'!B17</f>
        <v>Комитет городского хозяйства администрации города Ставрополя</v>
      </c>
      <c r="C17" s="75"/>
      <c r="D17" s="75" t="s">
        <v>172</v>
      </c>
      <c r="E17" s="68">
        <v>0</v>
      </c>
    </row>
    <row r="18" spans="1:5" ht="30">
      <c r="A18" s="79">
        <v>621</v>
      </c>
      <c r="B18" s="79" t="str">
        <f>'2.2. неис. БА в части местн.'!B18</f>
        <v>Комитет градостроительства администрации города Ставрополя</v>
      </c>
      <c r="C18" s="84"/>
      <c r="D18" s="84"/>
      <c r="E18" s="84"/>
    </row>
    <row r="19" spans="1:5" ht="45">
      <c r="A19" s="3">
        <v>624</v>
      </c>
      <c r="B19" s="1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75"/>
      <c r="D19" s="75" t="s">
        <v>172</v>
      </c>
      <c r="E19" s="68">
        <v>0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51181102362204722" right="0.19685039370078741" top="0.74803149606299213" bottom="0.74803149606299213" header="0.31496062992125984" footer="0.31496062992125984"/>
  <pageSetup paperSize="9" scale="84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 codeName="Лист28">
    <tabColor rgb="FFFF99FF"/>
  </sheetPr>
  <dimension ref="A1:F19"/>
  <sheetViews>
    <sheetView view="pageBreakPreview" zoomScale="84" zoomScaleNormal="75" zoomScaleSheetLayoutView="84" workbookViewId="0">
      <selection activeCell="E18" sqref="E18"/>
    </sheetView>
  </sheetViews>
  <sheetFormatPr defaultColWidth="9.140625" defaultRowHeight="15"/>
  <cols>
    <col min="1" max="1" width="8.42578125" style="7" customWidth="1"/>
    <col min="2" max="2" width="41.140625" style="5" customWidth="1"/>
    <col min="3" max="3" width="24.85546875" style="5" customWidth="1"/>
    <col min="4" max="4" width="26.140625" style="5" customWidth="1"/>
    <col min="5" max="5" width="13.28515625" style="5" bestFit="1" customWidth="1"/>
    <col min="6" max="6" width="13.140625" style="5" customWidth="1"/>
    <col min="7" max="16384" width="9.140625" style="5"/>
  </cols>
  <sheetData>
    <row r="1" spans="1:6" s="8" customFormat="1" ht="20.45" customHeight="1">
      <c r="A1" s="116" t="s">
        <v>67</v>
      </c>
      <c r="B1" s="116"/>
      <c r="C1" s="116"/>
      <c r="D1" s="116"/>
      <c r="E1" s="116"/>
      <c r="F1" s="116"/>
    </row>
    <row r="2" spans="1:6" ht="58.9" customHeight="1">
      <c r="A2" s="117" t="s">
        <v>133</v>
      </c>
      <c r="B2" s="117"/>
      <c r="C2" s="117"/>
      <c r="D2" s="117"/>
      <c r="E2" s="117"/>
      <c r="F2" s="117"/>
    </row>
    <row r="3" spans="1:6" ht="30">
      <c r="C3" s="7" t="s">
        <v>33</v>
      </c>
      <c r="D3" s="7" t="s">
        <v>33</v>
      </c>
      <c r="E3" s="7"/>
    </row>
    <row r="5" spans="1:6" ht="195">
      <c r="A5" s="4" t="s">
        <v>11</v>
      </c>
      <c r="B5" s="4" t="s">
        <v>12</v>
      </c>
      <c r="C5" s="77" t="s">
        <v>134</v>
      </c>
      <c r="D5" s="77" t="s">
        <v>135</v>
      </c>
      <c r="E5" s="77" t="s">
        <v>136</v>
      </c>
      <c r="F5" s="77" t="s">
        <v>15</v>
      </c>
    </row>
    <row r="6" spans="1:6">
      <c r="A6" s="78">
        <v>601</v>
      </c>
      <c r="B6" s="79" t="str">
        <f>'2.2. неис. БА в части местн.'!B6</f>
        <v>Администрация города Ставрополя</v>
      </c>
      <c r="C6" s="84"/>
      <c r="D6" s="84"/>
      <c r="E6" s="84"/>
      <c r="F6" s="84"/>
    </row>
    <row r="7" spans="1:6" ht="30">
      <c r="A7" s="79">
        <v>602</v>
      </c>
      <c r="B7" s="79" t="str">
        <f>'2.2. неис. БА в части местн.'!B7</f>
        <v>Комитет по управлению муниципальным имуществом города Ставрополя</v>
      </c>
      <c r="C7" s="84"/>
      <c r="D7" s="84"/>
      <c r="E7" s="84"/>
      <c r="F7" s="84"/>
    </row>
    <row r="8" spans="1:6" ht="30">
      <c r="A8" s="79">
        <v>604</v>
      </c>
      <c r="B8" s="79" t="str">
        <f>'2.2. неис. БА в части местн.'!B8</f>
        <v>Комитет финансов и бюджета администрации города Ставрополя</v>
      </c>
      <c r="C8" s="84"/>
      <c r="D8" s="84"/>
      <c r="E8" s="84"/>
      <c r="F8" s="84"/>
    </row>
    <row r="9" spans="1:6" ht="30">
      <c r="A9" s="79">
        <v>605</v>
      </c>
      <c r="B9" s="79" t="s">
        <v>4</v>
      </c>
      <c r="C9" s="84"/>
      <c r="D9" s="84"/>
      <c r="E9" s="84"/>
      <c r="F9" s="84"/>
    </row>
    <row r="10" spans="1:6" ht="30">
      <c r="A10" s="1">
        <v>606</v>
      </c>
      <c r="B10" s="1" t="str">
        <f>'2.2. неис. БА в части местн.'!B10</f>
        <v>Комитет образования администрации города Ставрополя</v>
      </c>
      <c r="C10" s="68">
        <v>8</v>
      </c>
      <c r="D10" s="68">
        <v>8</v>
      </c>
      <c r="E10" s="68">
        <f t="shared" ref="E10" si="0">ROUND(C10/D10*100,2)</f>
        <v>100</v>
      </c>
      <c r="F10" s="68">
        <v>5</v>
      </c>
    </row>
    <row r="11" spans="1:6" ht="30">
      <c r="A11" s="1">
        <v>607</v>
      </c>
      <c r="B11" s="1" t="str">
        <f>'2.2. неис. БА в части местн.'!B11</f>
        <v>Комитет культуры администрации города Ставрополя</v>
      </c>
      <c r="C11" s="68">
        <v>5</v>
      </c>
      <c r="D11" s="68">
        <v>5</v>
      </c>
      <c r="E11" s="68">
        <f t="shared" ref="E11:E19" si="1">ROUND(C11/D11*100,2)</f>
        <v>100</v>
      </c>
      <c r="F11" s="68">
        <v>5</v>
      </c>
    </row>
    <row r="12" spans="1:6" ht="45">
      <c r="A12" s="79">
        <v>609</v>
      </c>
      <c r="B12" s="79" t="str">
        <f>'2.2. неис. БА в части местн.'!B12</f>
        <v>Комитет труда и социальной защиты населения администрации города Ставрополя</v>
      </c>
      <c r="C12" s="84"/>
      <c r="D12" s="84"/>
      <c r="E12" s="84"/>
      <c r="F12" s="84"/>
    </row>
    <row r="13" spans="1:6" ht="45">
      <c r="A13" s="1">
        <v>611</v>
      </c>
      <c r="B13" s="1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68">
        <v>4</v>
      </c>
      <c r="D13" s="68">
        <v>4</v>
      </c>
      <c r="E13" s="68">
        <f t="shared" si="1"/>
        <v>100</v>
      </c>
      <c r="F13" s="68">
        <v>5</v>
      </c>
    </row>
    <row r="14" spans="1:6" ht="30">
      <c r="A14" s="79">
        <v>617</v>
      </c>
      <c r="B14" s="79" t="str">
        <f>'2.2. неис. БА в части местн.'!B14</f>
        <v>Администрация Ленинского района города Ставрополя</v>
      </c>
      <c r="C14" s="84"/>
      <c r="D14" s="84"/>
      <c r="E14" s="84"/>
      <c r="F14" s="84"/>
    </row>
    <row r="15" spans="1:6" ht="30">
      <c r="A15" s="79">
        <v>618</v>
      </c>
      <c r="B15" s="79" t="str">
        <f>'2.2. неис. БА в части местн.'!B15</f>
        <v>Администрация Октябрьского района города Ставрополя</v>
      </c>
      <c r="C15" s="84"/>
      <c r="D15" s="84"/>
      <c r="E15" s="84"/>
      <c r="F15" s="84"/>
    </row>
    <row r="16" spans="1:6" ht="30">
      <c r="A16" s="79">
        <v>619</v>
      </c>
      <c r="B16" s="79" t="str">
        <f>'2.2. неис. БА в части местн.'!B16</f>
        <v>Администрация Промышленного района города Ставрополя</v>
      </c>
      <c r="C16" s="84"/>
      <c r="D16" s="84"/>
      <c r="E16" s="84"/>
      <c r="F16" s="84"/>
    </row>
    <row r="17" spans="1:6" ht="30">
      <c r="A17" s="1">
        <v>620</v>
      </c>
      <c r="B17" s="1" t="str">
        <f>'2.2. неис. БА в части местн.'!B17</f>
        <v>Комитет городского хозяйства администрации города Ставрополя</v>
      </c>
      <c r="C17" s="68">
        <v>1</v>
      </c>
      <c r="D17" s="68">
        <v>1</v>
      </c>
      <c r="E17" s="68">
        <f t="shared" si="1"/>
        <v>100</v>
      </c>
      <c r="F17" s="68">
        <v>5</v>
      </c>
    </row>
    <row r="18" spans="1:6" ht="30">
      <c r="A18" s="79">
        <v>621</v>
      </c>
      <c r="B18" s="79" t="str">
        <f>'2.2. неис. БА в части местн.'!B18</f>
        <v>Комитет градостроительства администрации города Ставрополя</v>
      </c>
      <c r="C18" s="84"/>
      <c r="D18" s="84"/>
      <c r="E18" s="84"/>
      <c r="F18" s="84"/>
    </row>
    <row r="19" spans="1:6" ht="45">
      <c r="A19" s="3">
        <v>624</v>
      </c>
      <c r="B19" s="1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68">
        <v>0</v>
      </c>
      <c r="D19" s="68">
        <v>4</v>
      </c>
      <c r="E19" s="68">
        <f t="shared" si="1"/>
        <v>0</v>
      </c>
      <c r="F19" s="68">
        <v>0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F1"/>
    <mergeCell ref="A2:F2"/>
  </mergeCells>
  <pageMargins left="0.51181102362204722" right="0.19685039370078741" top="0.74803149606299213" bottom="0.74803149606299213" header="0.31496062992125984" footer="0.31496062992125984"/>
  <pageSetup paperSize="9" scale="75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 codeName="Лист29">
    <tabColor rgb="FF00B0F0"/>
  </sheetPr>
  <dimension ref="A1:H19"/>
  <sheetViews>
    <sheetView view="pageBreakPreview" topLeftCell="C1" zoomScale="87" zoomScaleNormal="74" zoomScaleSheetLayoutView="87" workbookViewId="0">
      <selection activeCell="D5" sqref="D5"/>
    </sheetView>
  </sheetViews>
  <sheetFormatPr defaultColWidth="9.140625" defaultRowHeight="15"/>
  <cols>
    <col min="1" max="1" width="8.42578125" style="7" customWidth="1"/>
    <col min="2" max="2" width="41.140625" style="5" customWidth="1"/>
    <col min="3" max="3" width="24.85546875" style="5" customWidth="1"/>
    <col min="4" max="4" width="27.7109375" style="5" customWidth="1"/>
    <col min="5" max="5" width="28" style="5" customWidth="1"/>
    <col min="6" max="6" width="24.85546875" style="5" customWidth="1"/>
    <col min="7" max="7" width="21.140625" style="5" customWidth="1"/>
    <col min="8" max="8" width="13.140625" style="5" customWidth="1"/>
    <col min="9" max="16384" width="9.140625" style="5"/>
  </cols>
  <sheetData>
    <row r="1" spans="1:8" s="8" customFormat="1" ht="20.45" customHeight="1">
      <c r="A1" s="116" t="s">
        <v>73</v>
      </c>
      <c r="B1" s="116"/>
      <c r="C1" s="116"/>
      <c r="D1" s="116"/>
      <c r="E1" s="116"/>
      <c r="F1" s="116"/>
      <c r="G1" s="116"/>
      <c r="H1" s="116"/>
    </row>
    <row r="2" spans="1:8" ht="39.4" customHeight="1">
      <c r="A2" s="117" t="s">
        <v>137</v>
      </c>
      <c r="B2" s="117"/>
      <c r="C2" s="117"/>
      <c r="D2" s="117"/>
      <c r="E2" s="117"/>
      <c r="F2" s="117"/>
      <c r="G2" s="117"/>
      <c r="H2" s="117"/>
    </row>
    <row r="3" spans="1:8" ht="30">
      <c r="B3" s="7" t="s">
        <v>33</v>
      </c>
      <c r="C3" s="7" t="s">
        <v>33</v>
      </c>
      <c r="D3" s="7"/>
      <c r="E3" s="7"/>
      <c r="F3" s="7"/>
      <c r="G3" s="7"/>
    </row>
    <row r="5" spans="1:8" ht="204.6" customHeight="1">
      <c r="A5" s="4" t="s">
        <v>11</v>
      </c>
      <c r="B5" s="4" t="s">
        <v>12</v>
      </c>
      <c r="C5" s="4" t="s">
        <v>74</v>
      </c>
      <c r="D5" s="4" t="s">
        <v>174</v>
      </c>
      <c r="E5" s="4" t="s">
        <v>75</v>
      </c>
      <c r="F5" s="4" t="s">
        <v>76</v>
      </c>
      <c r="G5" s="4" t="s">
        <v>77</v>
      </c>
      <c r="H5" s="4" t="s">
        <v>15</v>
      </c>
    </row>
    <row r="6" spans="1:8">
      <c r="A6" s="2">
        <v>601</v>
      </c>
      <c r="B6" s="1" t="str">
        <f>'2.2. неис. БА в части местн.'!B6</f>
        <v>Администрация города Ставрополя</v>
      </c>
      <c r="C6" s="6">
        <v>0</v>
      </c>
      <c r="D6" s="6">
        <f>18+2</f>
        <v>20</v>
      </c>
      <c r="E6" s="6">
        <v>0</v>
      </c>
      <c r="F6" s="6">
        <v>21</v>
      </c>
      <c r="G6" s="6">
        <f t="shared" ref="G6:G19" si="0">ROUND((C6+D6+E6)/F6*100,2)</f>
        <v>95.24</v>
      </c>
      <c r="H6" s="6"/>
    </row>
    <row r="7" spans="1:8" ht="30">
      <c r="A7" s="1">
        <v>602</v>
      </c>
      <c r="B7" s="1" t="str">
        <f>'2.2. неис. БА в части местн.'!B7</f>
        <v>Комитет по управлению муниципальным имуществом города Ставрополя</v>
      </c>
      <c r="C7" s="6">
        <v>0</v>
      </c>
      <c r="D7" s="6">
        <v>4</v>
      </c>
      <c r="E7" s="6">
        <v>0</v>
      </c>
      <c r="F7" s="6">
        <v>4</v>
      </c>
      <c r="G7" s="6">
        <f t="shared" si="0"/>
        <v>100</v>
      </c>
      <c r="H7" s="6"/>
    </row>
    <row r="8" spans="1:8" ht="30">
      <c r="A8" s="1">
        <v>604</v>
      </c>
      <c r="B8" s="1" t="str">
        <f>'2.2. неис. БА в части местн.'!B8</f>
        <v>Комитет финансов и бюджета администрации города Ставрополя</v>
      </c>
      <c r="C8" s="6">
        <v>0</v>
      </c>
      <c r="D8" s="19">
        <v>55</v>
      </c>
      <c r="E8" s="19">
        <v>0</v>
      </c>
      <c r="F8" s="19">
        <v>55</v>
      </c>
      <c r="G8" s="19">
        <f t="shared" si="0"/>
        <v>100</v>
      </c>
      <c r="H8" s="6"/>
    </row>
    <row r="9" spans="1:8" ht="30">
      <c r="A9" s="1">
        <v>605</v>
      </c>
      <c r="B9" s="1" t="s">
        <v>4</v>
      </c>
      <c r="C9" s="6">
        <v>0</v>
      </c>
      <c r="D9" s="6">
        <v>3</v>
      </c>
      <c r="E9" s="6">
        <v>0</v>
      </c>
      <c r="F9" s="6">
        <v>3</v>
      </c>
      <c r="G9" s="6">
        <f t="shared" si="0"/>
        <v>100</v>
      </c>
      <c r="H9" s="6"/>
    </row>
    <row r="10" spans="1:8" ht="30">
      <c r="A10" s="1">
        <v>606</v>
      </c>
      <c r="B10" s="1" t="str">
        <f>'2.2. неис. БА в части местн.'!B10</f>
        <v>Комитет образования администрации города Ставрополя</v>
      </c>
      <c r="C10" s="6">
        <v>0</v>
      </c>
      <c r="D10" s="6">
        <v>14</v>
      </c>
      <c r="E10" s="6">
        <v>1</v>
      </c>
      <c r="F10" s="6">
        <v>15</v>
      </c>
      <c r="G10" s="6">
        <f t="shared" si="0"/>
        <v>100</v>
      </c>
      <c r="H10" s="6"/>
    </row>
    <row r="11" spans="1:8" ht="30">
      <c r="A11" s="1">
        <v>607</v>
      </c>
      <c r="B11" s="1" t="str">
        <f>'2.2. неис. БА в части местн.'!B11</f>
        <v>Комитет культуры администрации города Ставрополя</v>
      </c>
      <c r="C11" s="6">
        <v>0</v>
      </c>
      <c r="D11" s="6">
        <v>4</v>
      </c>
      <c r="E11" s="6">
        <v>0</v>
      </c>
      <c r="F11" s="6">
        <v>4</v>
      </c>
      <c r="G11" s="6">
        <f t="shared" si="0"/>
        <v>100</v>
      </c>
      <c r="H11" s="6"/>
    </row>
    <row r="12" spans="1:8" ht="45">
      <c r="A12" s="1">
        <v>609</v>
      </c>
      <c r="B12" s="1" t="str">
        <f>'2.2. неис. БА в части местн.'!B12</f>
        <v>Комитет труда и социальной защиты населения администрации города Ставрополя</v>
      </c>
      <c r="C12" s="6">
        <v>0</v>
      </c>
      <c r="D12" s="6">
        <v>11</v>
      </c>
      <c r="E12" s="6">
        <v>0</v>
      </c>
      <c r="F12" s="6">
        <v>11</v>
      </c>
      <c r="G12" s="6">
        <f t="shared" si="0"/>
        <v>100</v>
      </c>
      <c r="H12" s="6"/>
    </row>
    <row r="13" spans="1:8" ht="45">
      <c r="A13" s="1">
        <v>611</v>
      </c>
      <c r="B13" s="1" t="str">
        <f>'2.2. неис. БА в части местн.'!B13</f>
        <v>Комитет физической культуры, спорта и молодежной политики администрации города Ставрополя</v>
      </c>
      <c r="C13" s="6">
        <v>0</v>
      </c>
      <c r="D13" s="6">
        <v>4</v>
      </c>
      <c r="E13" s="6">
        <v>0</v>
      </c>
      <c r="F13" s="6">
        <v>4</v>
      </c>
      <c r="G13" s="6">
        <f t="shared" si="0"/>
        <v>100</v>
      </c>
      <c r="H13" s="6"/>
    </row>
    <row r="14" spans="1:8" ht="30">
      <c r="A14" s="1">
        <v>617</v>
      </c>
      <c r="B14" s="1" t="str">
        <f>'2.2. неис. БА в части местн.'!B14</f>
        <v>Администрация Ленинского района города Ставрополя</v>
      </c>
      <c r="C14" s="6">
        <v>0</v>
      </c>
      <c r="D14" s="6">
        <v>3</v>
      </c>
      <c r="E14" s="6">
        <v>0</v>
      </c>
      <c r="F14" s="6">
        <v>3</v>
      </c>
      <c r="G14" s="6">
        <f t="shared" si="0"/>
        <v>100</v>
      </c>
      <c r="H14" s="6"/>
    </row>
    <row r="15" spans="1:8" ht="30">
      <c r="A15" s="1">
        <v>618</v>
      </c>
      <c r="B15" s="1" t="str">
        <f>'2.2. неис. БА в части местн.'!B15</f>
        <v>Администрация Октябрьского района города Ставрополя</v>
      </c>
      <c r="C15" s="6">
        <v>0</v>
      </c>
      <c r="D15" s="6">
        <v>4</v>
      </c>
      <c r="E15" s="6">
        <v>0</v>
      </c>
      <c r="F15" s="6">
        <v>4</v>
      </c>
      <c r="G15" s="6">
        <f t="shared" si="0"/>
        <v>100</v>
      </c>
      <c r="H15" s="6"/>
    </row>
    <row r="16" spans="1:8" ht="30">
      <c r="A16" s="1">
        <v>619</v>
      </c>
      <c r="B16" s="1" t="str">
        <f>'2.2. неис. БА в части местн.'!B16</f>
        <v>Администрация Промышленного района города Ставрополя</v>
      </c>
      <c r="C16" s="6">
        <v>0</v>
      </c>
      <c r="D16" s="6">
        <v>4</v>
      </c>
      <c r="E16" s="6">
        <v>0</v>
      </c>
      <c r="F16" s="6">
        <v>4</v>
      </c>
      <c r="G16" s="6">
        <f t="shared" si="0"/>
        <v>100</v>
      </c>
      <c r="H16" s="6"/>
    </row>
    <row r="17" spans="1:8" ht="30">
      <c r="A17" s="1">
        <v>620</v>
      </c>
      <c r="B17" s="1" t="str">
        <f>'2.2. неис. БА в части местн.'!B17</f>
        <v>Комитет городского хозяйства администрации города Ставрополя</v>
      </c>
      <c r="C17" s="6">
        <v>0</v>
      </c>
      <c r="D17" s="6">
        <v>12</v>
      </c>
      <c r="E17" s="6">
        <v>0</v>
      </c>
      <c r="F17" s="6">
        <v>12</v>
      </c>
      <c r="G17" s="6">
        <f t="shared" si="0"/>
        <v>100</v>
      </c>
      <c r="H17" s="6"/>
    </row>
    <row r="18" spans="1:8" ht="30">
      <c r="A18" s="1">
        <v>621</v>
      </c>
      <c r="B18" s="1" t="str">
        <f>'2.2. неис. БА в части местн.'!B18</f>
        <v>Комитет градостроительства администрации города Ставрополя</v>
      </c>
      <c r="C18" s="6">
        <v>0</v>
      </c>
      <c r="D18" s="6">
        <v>4</v>
      </c>
      <c r="E18" s="6">
        <v>0</v>
      </c>
      <c r="F18" s="6">
        <v>4</v>
      </c>
      <c r="G18" s="6">
        <f t="shared" si="0"/>
        <v>100</v>
      </c>
      <c r="H18" s="6"/>
    </row>
    <row r="19" spans="1:8" ht="45">
      <c r="A19" s="3">
        <v>624</v>
      </c>
      <c r="B19" s="1" t="str">
        <f>'2.2. неис. БА в части местн.'!B19</f>
        <v>Комитет по делам гражданской обороны и чрезвычайным ситуациям администрации города Ставрополя</v>
      </c>
      <c r="C19" s="6">
        <v>0</v>
      </c>
      <c r="D19" s="6">
        <v>3</v>
      </c>
      <c r="E19" s="6">
        <v>0</v>
      </c>
      <c r="F19" s="6">
        <v>3</v>
      </c>
      <c r="G19" s="6">
        <f t="shared" si="0"/>
        <v>100</v>
      </c>
      <c r="H19" s="6"/>
    </row>
  </sheetData>
  <sheetProtection formatCells="0" formatColumns="0" formatRows="0" insertColumns="0" insertRows="0" insertHyperlinks="0" deleteColumns="0" deleteRows="0" sort="0" autoFilter="0" pivotTables="0"/>
  <sortState ref="A6:H22">
    <sortCondition ref="A6"/>
  </sortState>
  <mergeCells count="2">
    <mergeCell ref="A1:H1"/>
    <mergeCell ref="A2:H2"/>
  </mergeCells>
  <pageMargins left="0.71" right="0.19685039370078741" top="0.45" bottom="0.16" header="0.31496062992125984" footer="0.16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CC66FF"/>
  </sheetPr>
  <dimension ref="A2:G19"/>
  <sheetViews>
    <sheetView view="pageBreakPreview" zoomScale="82" zoomScaleNormal="100" zoomScaleSheetLayoutView="82" workbookViewId="0">
      <selection activeCell="C14" sqref="C14"/>
    </sheetView>
  </sheetViews>
  <sheetFormatPr defaultColWidth="9.140625" defaultRowHeight="15"/>
  <cols>
    <col min="1" max="1" width="7.140625" style="5" customWidth="1"/>
    <col min="2" max="2" width="8.42578125" style="7" customWidth="1"/>
    <col min="3" max="3" width="50.85546875" style="5" customWidth="1"/>
    <col min="4" max="4" width="15" style="5" customWidth="1"/>
    <col min="5" max="6" width="15" style="20" customWidth="1"/>
    <col min="7" max="16384" width="9.140625" style="5"/>
  </cols>
  <sheetData>
    <row r="2" spans="1:7" ht="15.75">
      <c r="A2" s="114" t="s">
        <v>101</v>
      </c>
      <c r="B2" s="114"/>
      <c r="C2" s="114"/>
      <c r="D2" s="114"/>
      <c r="E2" s="114"/>
      <c r="F2" s="114"/>
    </row>
    <row r="5" spans="1:7" ht="140.65" customHeight="1">
      <c r="A5" s="4" t="s">
        <v>91</v>
      </c>
      <c r="B5" s="4" t="s">
        <v>11</v>
      </c>
      <c r="C5" s="4" t="s">
        <v>12</v>
      </c>
      <c r="D5" s="15" t="s">
        <v>87</v>
      </c>
      <c r="E5" s="48" t="s">
        <v>100</v>
      </c>
      <c r="F5" s="48" t="s">
        <v>101</v>
      </c>
    </row>
    <row r="6" spans="1:7" s="16" customFormat="1">
      <c r="A6" s="6">
        <v>4</v>
      </c>
      <c r="B6" s="1">
        <v>601</v>
      </c>
      <c r="C6" s="2" t="s">
        <v>1</v>
      </c>
      <c r="D6" s="6">
        <f>' РАСЧЕТЫ по каждому  ГРБС'!F37</f>
        <v>3.8500000000000005</v>
      </c>
      <c r="E6" s="10">
        <f>VLOOKUP($G6,'коррект. коээф.'!$A$6:$G$20,7,0)</f>
        <v>1.4</v>
      </c>
      <c r="F6" s="10">
        <f t="shared" ref="F6:F19" si="0">ROUND(D6*E6,2)</f>
        <v>5.39</v>
      </c>
      <c r="G6" s="1">
        <v>601</v>
      </c>
    </row>
    <row r="7" spans="1:7" ht="30">
      <c r="A7" s="67">
        <v>13</v>
      </c>
      <c r="B7" s="2">
        <v>602</v>
      </c>
      <c r="C7" s="1" t="s">
        <v>2</v>
      </c>
      <c r="D7" s="6">
        <f>' РАСЧЕТЫ по каждому  ГРБС'!K37</f>
        <v>3.08</v>
      </c>
      <c r="E7" s="10">
        <f>VLOOKUP($G7,'коррект. коээф.'!$A$6:$G$20,7,0)</f>
        <v>1</v>
      </c>
      <c r="F7" s="10">
        <f t="shared" si="0"/>
        <v>3.08</v>
      </c>
      <c r="G7" s="2">
        <v>602</v>
      </c>
    </row>
    <row r="8" spans="1:7" ht="30">
      <c r="A8" s="6">
        <v>11</v>
      </c>
      <c r="B8" s="1">
        <v>604</v>
      </c>
      <c r="C8" s="1" t="s">
        <v>3</v>
      </c>
      <c r="D8" s="6">
        <f>' РАСЧЕТЫ по каждому  ГРБС'!P37</f>
        <v>3.96</v>
      </c>
      <c r="E8" s="10">
        <f>VLOOKUP($G8,'коррект. коээф.'!$A$6:$G$20,7,0)</f>
        <v>1</v>
      </c>
      <c r="F8" s="10">
        <f t="shared" si="0"/>
        <v>3.96</v>
      </c>
      <c r="G8" s="1">
        <v>604</v>
      </c>
    </row>
    <row r="9" spans="1:7" ht="30">
      <c r="A9" s="6">
        <v>14</v>
      </c>
      <c r="B9" s="1">
        <v>605</v>
      </c>
      <c r="C9" s="1" t="s">
        <v>4</v>
      </c>
      <c r="D9" s="6">
        <f>' РАСЧЕТЫ по каждому  ГРБС'!U37</f>
        <v>3.66</v>
      </c>
      <c r="E9" s="10">
        <f>VLOOKUP($G9,'коррект. коээф.'!$A$6:$G$20,7,0)</f>
        <v>0.8</v>
      </c>
      <c r="F9" s="10">
        <f t="shared" si="0"/>
        <v>2.93</v>
      </c>
      <c r="G9" s="1">
        <v>605</v>
      </c>
    </row>
    <row r="10" spans="1:7" ht="30">
      <c r="A10" s="6">
        <v>1</v>
      </c>
      <c r="B10" s="1">
        <v>606</v>
      </c>
      <c r="C10" s="1" t="s">
        <v>167</v>
      </c>
      <c r="D10" s="6">
        <f>' РАСЧЕТЫ по каждому  ГРБС'!Z37</f>
        <v>4.5100000000000007</v>
      </c>
      <c r="E10" s="10">
        <f>VLOOKUP($G10,'коррект. коээф.'!$A$6:$G$20,7,0)</f>
        <v>1.8</v>
      </c>
      <c r="F10" s="10">
        <f t="shared" si="0"/>
        <v>8.1199999999999992</v>
      </c>
      <c r="G10" s="1">
        <v>606</v>
      </c>
    </row>
    <row r="11" spans="1:7" ht="30">
      <c r="A11" s="6">
        <v>2</v>
      </c>
      <c r="B11" s="1">
        <v>607</v>
      </c>
      <c r="C11" s="1" t="s">
        <v>168</v>
      </c>
      <c r="D11" s="6">
        <f>' РАСЧЕТЫ по каждому  ГРБС'!AE37</f>
        <v>4.24</v>
      </c>
      <c r="E11" s="10">
        <f>VLOOKUP($G11,'коррект. коээф.'!$A$6:$G$20,7,0)</f>
        <v>1.6</v>
      </c>
      <c r="F11" s="10">
        <f t="shared" si="0"/>
        <v>6.78</v>
      </c>
      <c r="G11" s="1">
        <v>607</v>
      </c>
    </row>
    <row r="12" spans="1:7" ht="30">
      <c r="A12" s="6">
        <v>6</v>
      </c>
      <c r="B12" s="1">
        <v>609</v>
      </c>
      <c r="C12" s="1" t="s">
        <v>169</v>
      </c>
      <c r="D12" s="6">
        <f>' РАСЧЕТЫ по каждому  ГРБС'!AJ37</f>
        <v>4.7299999999999995</v>
      </c>
      <c r="E12" s="10">
        <f>VLOOKUP($G12,'коррект. коээф.'!$A$6:$G$20,7,0)</f>
        <v>1</v>
      </c>
      <c r="F12" s="10">
        <f t="shared" si="0"/>
        <v>4.7300000000000004</v>
      </c>
      <c r="G12" s="1">
        <v>609</v>
      </c>
    </row>
    <row r="13" spans="1:7" ht="30">
      <c r="A13" s="6">
        <v>3</v>
      </c>
      <c r="B13" s="1">
        <v>611</v>
      </c>
      <c r="C13" s="1" t="s">
        <v>170</v>
      </c>
      <c r="D13" s="6">
        <f>' РАСЧЕТЫ по каждому  ГРБС'!AO37</f>
        <v>4.24</v>
      </c>
      <c r="E13" s="10">
        <f>VLOOKUP($G13,'коррект. коээф.'!$A$6:$G$20,7,0)</f>
        <v>1.4</v>
      </c>
      <c r="F13" s="10">
        <f t="shared" si="0"/>
        <v>5.94</v>
      </c>
      <c r="G13" s="1">
        <v>611</v>
      </c>
    </row>
    <row r="14" spans="1:7" ht="30">
      <c r="A14" s="6">
        <v>8</v>
      </c>
      <c r="B14" s="1">
        <v>617</v>
      </c>
      <c r="C14" s="1" t="s">
        <v>6</v>
      </c>
      <c r="D14" s="6">
        <f>' РАСЧЕТЫ по каждому  ГРБС'!AT37</f>
        <v>4.4000000000000004</v>
      </c>
      <c r="E14" s="10">
        <f>VLOOKUP($G14,'коррект. коээф.'!$A$6:$G$20,7,0)</f>
        <v>1</v>
      </c>
      <c r="F14" s="10">
        <f t="shared" si="0"/>
        <v>4.4000000000000004</v>
      </c>
      <c r="G14" s="1">
        <v>617</v>
      </c>
    </row>
    <row r="15" spans="1:7" ht="30">
      <c r="A15" s="6">
        <v>7</v>
      </c>
      <c r="B15" s="1">
        <v>618</v>
      </c>
      <c r="C15" s="1" t="s">
        <v>7</v>
      </c>
      <c r="D15" s="6">
        <f>' РАСЧЕТЫ по каждому  ГРБС'!AY37</f>
        <v>4.5600000000000005</v>
      </c>
      <c r="E15" s="10">
        <f>VLOOKUP($G15,'коррект. коээф.'!$A$6:$G$20,7,0)</f>
        <v>1</v>
      </c>
      <c r="F15" s="10">
        <f t="shared" si="0"/>
        <v>4.5599999999999996</v>
      </c>
      <c r="G15" s="1">
        <v>618</v>
      </c>
    </row>
    <row r="16" spans="1:7" ht="30">
      <c r="A16" s="6">
        <v>9</v>
      </c>
      <c r="B16" s="1">
        <v>619</v>
      </c>
      <c r="C16" s="1" t="s">
        <v>8</v>
      </c>
      <c r="D16" s="6">
        <f>' РАСЧЕТЫ по каждому  ГРБС'!BD37</f>
        <v>3.4500000000000006</v>
      </c>
      <c r="E16" s="10">
        <f>VLOOKUP($G16,'коррект. коээф.'!$A$6:$G$20,7,0)</f>
        <v>1.2</v>
      </c>
      <c r="F16" s="10">
        <f t="shared" si="0"/>
        <v>4.1399999999999997</v>
      </c>
      <c r="G16" s="1">
        <v>619</v>
      </c>
    </row>
    <row r="17" spans="1:7" ht="30">
      <c r="A17" s="6">
        <v>5</v>
      </c>
      <c r="B17" s="1">
        <v>620</v>
      </c>
      <c r="C17" s="1" t="s">
        <v>9</v>
      </c>
      <c r="D17" s="6">
        <f>' РАСЧЕТЫ по каждому  ГРБС'!BI37</f>
        <v>2.84</v>
      </c>
      <c r="E17" s="10">
        <f>VLOOKUP($G17,'коррект. коээф.'!$A$6:$G$20,7,0)</f>
        <v>1.8</v>
      </c>
      <c r="F17" s="10">
        <f t="shared" si="0"/>
        <v>5.1100000000000003</v>
      </c>
      <c r="G17" s="1">
        <v>620</v>
      </c>
    </row>
    <row r="18" spans="1:7" ht="30">
      <c r="A18" s="6">
        <v>10</v>
      </c>
      <c r="B18" s="1">
        <v>621</v>
      </c>
      <c r="C18" s="1" t="s">
        <v>10</v>
      </c>
      <c r="D18" s="6">
        <f>' РАСЧЕТЫ по каждому  ГРБС'!BN37</f>
        <v>3.33</v>
      </c>
      <c r="E18" s="10">
        <f>VLOOKUP($G18,'коррект. коээф.'!$A$6:$G$20,7,0)</f>
        <v>1.2</v>
      </c>
      <c r="F18" s="10">
        <f t="shared" si="0"/>
        <v>4</v>
      </c>
      <c r="G18" s="1">
        <v>621</v>
      </c>
    </row>
    <row r="19" spans="1:7" ht="45">
      <c r="A19" s="6">
        <v>12</v>
      </c>
      <c r="B19" s="1">
        <v>624</v>
      </c>
      <c r="C19" s="1" t="s">
        <v>171</v>
      </c>
      <c r="D19" s="6">
        <f>' РАСЧЕТЫ по каждому  ГРБС'!BS37</f>
        <v>3.6700000000000004</v>
      </c>
      <c r="E19" s="10">
        <f>VLOOKUP($G19,'коррект. коээф.'!$A$6:$G$20,7,0)</f>
        <v>1</v>
      </c>
      <c r="F19" s="10">
        <f t="shared" si="0"/>
        <v>3.67</v>
      </c>
      <c r="G19" s="3">
        <v>624</v>
      </c>
    </row>
  </sheetData>
  <sheetProtection formatCells="0" formatColumns="0" formatRows="0" insertColumns="0" insertRows="0" insertHyperlinks="0" deleteColumns="0" deleteRows="0" sort="0" autoFilter="0" pivotTables="0"/>
  <sortState ref="A8:G24">
    <sortCondition ref="B8"/>
  </sortState>
  <mergeCells count="1">
    <mergeCell ref="A2:F2"/>
  </mergeCells>
  <pageMargins left="0.24" right="0.19685039370078741" top="0.35433070866141736" bottom="0.19685039370078741" header="0.15748031496062992" footer="0.15748031496062992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CC66FF"/>
  </sheetPr>
  <dimension ref="A2:E22"/>
  <sheetViews>
    <sheetView view="pageBreakPreview" zoomScale="82" zoomScaleNormal="100" zoomScaleSheetLayoutView="82" workbookViewId="0">
      <selection activeCell="C12" sqref="C12"/>
    </sheetView>
  </sheetViews>
  <sheetFormatPr defaultColWidth="9.140625" defaultRowHeight="15"/>
  <cols>
    <col min="1" max="1" width="7.140625" style="5" customWidth="1"/>
    <col min="2" max="2" width="8.42578125" style="7" customWidth="1"/>
    <col min="3" max="3" width="50.85546875" style="5" customWidth="1"/>
    <col min="4" max="4" width="15" style="5" customWidth="1"/>
    <col min="5" max="16384" width="9.140625" style="5"/>
  </cols>
  <sheetData>
    <row r="2" spans="1:5" ht="41.25" customHeight="1">
      <c r="A2" s="115" t="s">
        <v>157</v>
      </c>
      <c r="B2" s="115"/>
      <c r="C2" s="115"/>
      <c r="D2" s="115"/>
    </row>
    <row r="5" spans="1:5" ht="140.65" customHeight="1">
      <c r="A5" s="4" t="s">
        <v>91</v>
      </c>
      <c r="B5" s="4" t="s">
        <v>11</v>
      </c>
      <c r="C5" s="4" t="s">
        <v>12</v>
      </c>
      <c r="D5" s="15" t="s">
        <v>87</v>
      </c>
    </row>
    <row r="6" spans="1:5" ht="48" customHeight="1">
      <c r="A6" s="6">
        <v>1</v>
      </c>
      <c r="B6" s="1">
        <v>609</v>
      </c>
      <c r="C6" s="1" t="s">
        <v>5</v>
      </c>
      <c r="D6" s="6">
        <f>' РАСЧЕТЫ по каждому  ГРБС'!AJ37</f>
        <v>4.7299999999999995</v>
      </c>
      <c r="E6" s="1">
        <v>609</v>
      </c>
    </row>
    <row r="7" spans="1:5" ht="42.75" customHeight="1">
      <c r="A7" s="67">
        <v>2</v>
      </c>
      <c r="B7" s="2">
        <v>618</v>
      </c>
      <c r="C7" s="2" t="s">
        <v>7</v>
      </c>
      <c r="D7" s="6">
        <f>' РАСЧЕТЫ по каждому  ГРБС'!AY37</f>
        <v>4.5600000000000005</v>
      </c>
      <c r="E7" s="2">
        <v>618</v>
      </c>
    </row>
    <row r="8" spans="1:5" ht="42.75" customHeight="1">
      <c r="A8" s="6">
        <v>3</v>
      </c>
      <c r="B8" s="1">
        <v>606</v>
      </c>
      <c r="C8" s="1" t="s">
        <v>167</v>
      </c>
      <c r="D8" s="6">
        <f>' РАСЧЕТЫ по каждому  ГРБС'!Z37</f>
        <v>4.5100000000000007</v>
      </c>
      <c r="E8" s="1">
        <v>606</v>
      </c>
    </row>
    <row r="9" spans="1:5" ht="42.75" customHeight="1">
      <c r="A9" s="6">
        <v>4</v>
      </c>
      <c r="B9" s="1">
        <v>617</v>
      </c>
      <c r="C9" s="1" t="s">
        <v>6</v>
      </c>
      <c r="D9" s="6">
        <f>' РАСЧЕТЫ по каждому  ГРБС'!AT37</f>
        <v>4.4000000000000004</v>
      </c>
      <c r="E9" s="1">
        <v>617</v>
      </c>
    </row>
    <row r="10" spans="1:5" s="16" customFormat="1" ht="30">
      <c r="A10" s="6">
        <v>5</v>
      </c>
      <c r="B10" s="3">
        <v>611</v>
      </c>
      <c r="C10" s="1" t="s">
        <v>170</v>
      </c>
      <c r="D10" s="6">
        <f>' РАСЧЕТЫ по каждому  ГРБС'!AO37</f>
        <v>4.24</v>
      </c>
      <c r="E10" s="3">
        <v>611</v>
      </c>
    </row>
    <row r="11" spans="1:5" ht="30">
      <c r="A11" s="6">
        <v>6</v>
      </c>
      <c r="B11" s="1">
        <v>607</v>
      </c>
      <c r="C11" s="1" t="s">
        <v>168</v>
      </c>
      <c r="D11" s="6">
        <f>' РАСЧЕТЫ по каждому  ГРБС'!AE37</f>
        <v>4.24</v>
      </c>
      <c r="E11" s="1">
        <v>607</v>
      </c>
    </row>
    <row r="12" spans="1:5" ht="30">
      <c r="A12" s="6">
        <v>7</v>
      </c>
      <c r="B12" s="1">
        <v>604</v>
      </c>
      <c r="C12" s="1" t="s">
        <v>3</v>
      </c>
      <c r="D12" s="6">
        <f>' РАСЧЕТЫ по каждому  ГРБС'!P37</f>
        <v>3.96</v>
      </c>
      <c r="E12" s="1">
        <v>604</v>
      </c>
    </row>
    <row r="13" spans="1:5">
      <c r="A13" s="6">
        <v>8</v>
      </c>
      <c r="B13" s="1">
        <v>601</v>
      </c>
      <c r="C13" s="1" t="s">
        <v>1</v>
      </c>
      <c r="D13" s="6">
        <f>' РАСЧЕТЫ по каждому  ГРБС'!F37</f>
        <v>3.8500000000000005</v>
      </c>
      <c r="E13" s="1">
        <v>601</v>
      </c>
    </row>
    <row r="14" spans="1:5" ht="30">
      <c r="A14" s="6">
        <v>9</v>
      </c>
      <c r="B14" s="1">
        <v>624</v>
      </c>
      <c r="C14" s="1" t="s">
        <v>176</v>
      </c>
      <c r="D14" s="6">
        <f>' РАСЧЕТЫ по каждому  ГРБС'!BS37</f>
        <v>3.6700000000000004</v>
      </c>
      <c r="E14" s="1">
        <v>624</v>
      </c>
    </row>
    <row r="15" spans="1:5" ht="30">
      <c r="A15" s="6">
        <v>10</v>
      </c>
      <c r="B15" s="1">
        <v>605</v>
      </c>
      <c r="C15" s="1" t="s">
        <v>4</v>
      </c>
      <c r="D15" s="6">
        <f>' РАСЧЕТЫ по каждому  ГРБС'!U37</f>
        <v>3.66</v>
      </c>
      <c r="E15" s="1">
        <v>605</v>
      </c>
    </row>
    <row r="16" spans="1:5" ht="30">
      <c r="A16" s="6">
        <v>11</v>
      </c>
      <c r="B16" s="1">
        <v>619</v>
      </c>
      <c r="C16" s="1" t="s">
        <v>8</v>
      </c>
      <c r="D16" s="6">
        <f>' РАСЧЕТЫ по каждому  ГРБС'!BD37</f>
        <v>3.4500000000000006</v>
      </c>
      <c r="E16" s="1">
        <v>619</v>
      </c>
    </row>
    <row r="17" spans="1:5" ht="30">
      <c r="A17" s="6">
        <v>12</v>
      </c>
      <c r="B17" s="1">
        <v>621</v>
      </c>
      <c r="C17" s="1" t="s">
        <v>10</v>
      </c>
      <c r="D17" s="6">
        <f>' РАСЧЕТЫ по каждому  ГРБС'!BN37</f>
        <v>3.33</v>
      </c>
      <c r="E17" s="1">
        <v>621</v>
      </c>
    </row>
    <row r="18" spans="1:5" ht="30">
      <c r="A18" s="6">
        <v>13</v>
      </c>
      <c r="B18" s="1">
        <v>602</v>
      </c>
      <c r="C18" s="1" t="s">
        <v>2</v>
      </c>
      <c r="D18" s="6">
        <f>' РАСЧЕТЫ по каждому  ГРБС'!K37</f>
        <v>3.08</v>
      </c>
      <c r="E18" s="1">
        <v>602</v>
      </c>
    </row>
    <row r="19" spans="1:5" ht="30">
      <c r="A19" s="6">
        <v>14</v>
      </c>
      <c r="B19" s="1">
        <v>620</v>
      </c>
      <c r="C19" s="1" t="s">
        <v>9</v>
      </c>
      <c r="D19" s="6">
        <f>' РАСЧЕТЫ по каждому  ГРБС'!BI37</f>
        <v>2.84</v>
      </c>
      <c r="E19" s="1">
        <v>620</v>
      </c>
    </row>
    <row r="20" spans="1:5">
      <c r="B20" s="5"/>
    </row>
    <row r="21" spans="1:5">
      <c r="B21" s="5"/>
    </row>
    <row r="22" spans="1:5">
      <c r="B22" s="5"/>
    </row>
  </sheetData>
  <sheetProtection formatCells="0" formatColumns="0" formatRows="0" insertColumns="0" insertRows="0" insertHyperlinks="0" deleteColumns="0" deleteRows="0" sort="0" autoFilter="0" pivotTables="0"/>
  <sortState ref="A6:E22">
    <sortCondition descending="1" ref="D6"/>
  </sortState>
  <mergeCells count="1">
    <mergeCell ref="A2:D2"/>
  </mergeCells>
  <pageMargins left="0.24" right="0.19685039370078741" top="0.35433070866141736" bottom="0.19685039370078741" header="0.15748031496062992" footer="0.15748031496062992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>
    <tabColor theme="8" tint="0.79998168889431442"/>
  </sheetPr>
  <dimension ref="A1:G22"/>
  <sheetViews>
    <sheetView view="pageBreakPreview" zoomScale="84" zoomScaleNormal="75" zoomScaleSheetLayoutView="84" workbookViewId="0">
      <selection activeCell="A19" sqref="A19:G19"/>
    </sheetView>
  </sheetViews>
  <sheetFormatPr defaultColWidth="9.140625" defaultRowHeight="15"/>
  <cols>
    <col min="1" max="1" width="8.42578125" style="7" customWidth="1"/>
    <col min="2" max="2" width="41.140625" style="5" customWidth="1"/>
    <col min="3" max="5" width="22.85546875" style="5" customWidth="1"/>
    <col min="6" max="6" width="12.42578125" style="5" customWidth="1"/>
    <col min="7" max="7" width="11.7109375" style="5" customWidth="1"/>
    <col min="8" max="16384" width="9.140625" style="5"/>
  </cols>
  <sheetData>
    <row r="1" spans="1:7" s="8" customFormat="1" ht="20.25">
      <c r="A1" s="116"/>
      <c r="B1" s="116"/>
      <c r="C1" s="116"/>
      <c r="D1" s="116"/>
      <c r="E1" s="116"/>
      <c r="F1" s="116"/>
    </row>
    <row r="2" spans="1:7" ht="19.5">
      <c r="A2" s="117" t="s">
        <v>154</v>
      </c>
      <c r="B2" s="117"/>
      <c r="C2" s="117"/>
      <c r="D2" s="117"/>
      <c r="E2" s="117"/>
      <c r="F2" s="117"/>
      <c r="G2" s="117"/>
    </row>
    <row r="5" spans="1:7" ht="105">
      <c r="A5" s="4" t="s">
        <v>11</v>
      </c>
      <c r="B5" s="4" t="s">
        <v>12</v>
      </c>
      <c r="C5" s="4" t="s">
        <v>151</v>
      </c>
      <c r="D5" s="4" t="s">
        <v>152</v>
      </c>
      <c r="E5" s="4" t="s">
        <v>153</v>
      </c>
      <c r="F5" s="4" t="s">
        <v>98</v>
      </c>
      <c r="G5" s="4" t="s">
        <v>99</v>
      </c>
    </row>
    <row r="6" spans="1:7">
      <c r="A6" s="2">
        <v>601</v>
      </c>
      <c r="B6" s="2" t="s">
        <v>1</v>
      </c>
      <c r="C6" s="55">
        <v>221333598.44</v>
      </c>
      <c r="D6" s="55">
        <v>10843064.570000023</v>
      </c>
      <c r="E6" s="11">
        <f t="shared" ref="E6:E19" si="0">C6-D6</f>
        <v>210490533.86999997</v>
      </c>
      <c r="F6" s="6">
        <f t="shared" ref="F6:F19" si="1">ROUND(E6/$E$20*100,2)</f>
        <v>5.96</v>
      </c>
      <c r="G6" s="6">
        <v>1.4</v>
      </c>
    </row>
    <row r="7" spans="1:7" ht="30">
      <c r="A7" s="1">
        <v>602</v>
      </c>
      <c r="B7" s="1" t="s">
        <v>2</v>
      </c>
      <c r="C7" s="55">
        <v>83459641.019999996</v>
      </c>
      <c r="D7" s="11">
        <v>1369960</v>
      </c>
      <c r="E7" s="11">
        <f t="shared" si="0"/>
        <v>82089681.019999996</v>
      </c>
      <c r="F7" s="6">
        <f t="shared" si="1"/>
        <v>2.33</v>
      </c>
      <c r="G7" s="6">
        <v>1</v>
      </c>
    </row>
    <row r="8" spans="1:7" ht="30">
      <c r="A8" s="1">
        <v>604</v>
      </c>
      <c r="B8" s="1" t="s">
        <v>3</v>
      </c>
      <c r="C8" s="55">
        <v>38975437.170000002</v>
      </c>
      <c r="D8" s="11">
        <v>1147530</v>
      </c>
      <c r="E8" s="11">
        <f t="shared" si="0"/>
        <v>37827907.170000002</v>
      </c>
      <c r="F8" s="6">
        <f t="shared" si="1"/>
        <v>1.07</v>
      </c>
      <c r="G8" s="6">
        <v>1</v>
      </c>
    </row>
    <row r="9" spans="1:7" ht="30">
      <c r="A9" s="1">
        <v>605</v>
      </c>
      <c r="B9" s="1" t="s">
        <v>4</v>
      </c>
      <c r="C9" s="55">
        <v>28733365.940000001</v>
      </c>
      <c r="D9" s="55">
        <v>861190</v>
      </c>
      <c r="E9" s="11">
        <f t="shared" si="0"/>
        <v>27872175.940000001</v>
      </c>
      <c r="F9" s="6">
        <f t="shared" si="1"/>
        <v>0.79</v>
      </c>
      <c r="G9" s="6">
        <v>0.8</v>
      </c>
    </row>
    <row r="10" spans="1:7" ht="30">
      <c r="A10" s="1">
        <v>606</v>
      </c>
      <c r="B10" s="1" t="s">
        <v>167</v>
      </c>
      <c r="C10" s="55">
        <v>3143183337.0900002</v>
      </c>
      <c r="D10" s="55">
        <v>1744397663.6300001</v>
      </c>
      <c r="E10" s="11">
        <f t="shared" si="0"/>
        <v>1398785673.46</v>
      </c>
      <c r="F10" s="6">
        <f t="shared" si="1"/>
        <v>39.630000000000003</v>
      </c>
      <c r="G10" s="6">
        <v>1.8</v>
      </c>
    </row>
    <row r="11" spans="1:7" ht="30">
      <c r="A11" s="1">
        <v>607</v>
      </c>
      <c r="B11" s="1" t="s">
        <v>168</v>
      </c>
      <c r="C11" s="55">
        <v>297945915.92000002</v>
      </c>
      <c r="D11" s="55">
        <v>8752562</v>
      </c>
      <c r="E11" s="11">
        <f t="shared" si="0"/>
        <v>289193353.92000002</v>
      </c>
      <c r="F11" s="6">
        <f t="shared" si="1"/>
        <v>8.19</v>
      </c>
      <c r="G11" s="6">
        <v>1.6</v>
      </c>
    </row>
    <row r="12" spans="1:7" ht="45">
      <c r="A12" s="1">
        <v>609</v>
      </c>
      <c r="B12" s="1" t="s">
        <v>169</v>
      </c>
      <c r="C12" s="55">
        <v>1785415760.6300001</v>
      </c>
      <c r="D12" s="55">
        <v>1700803381.9200001</v>
      </c>
      <c r="E12" s="11">
        <f t="shared" si="0"/>
        <v>84612378.710000038</v>
      </c>
      <c r="F12" s="6">
        <f t="shared" si="1"/>
        <v>2.4</v>
      </c>
      <c r="G12" s="6">
        <v>1</v>
      </c>
    </row>
    <row r="13" spans="1:7" ht="45">
      <c r="A13" s="1">
        <v>611</v>
      </c>
      <c r="B13" s="1" t="s">
        <v>170</v>
      </c>
      <c r="C13" s="55">
        <v>202285000.29999998</v>
      </c>
      <c r="D13" s="55">
        <v>1734120</v>
      </c>
      <c r="E13" s="11">
        <f t="shared" si="0"/>
        <v>200550880.29999998</v>
      </c>
      <c r="F13" s="6">
        <f t="shared" si="1"/>
        <v>5.68</v>
      </c>
      <c r="G13" s="6">
        <v>1.4</v>
      </c>
    </row>
    <row r="14" spans="1:7" ht="30">
      <c r="A14" s="1">
        <v>617</v>
      </c>
      <c r="B14" s="1" t="s">
        <v>6</v>
      </c>
      <c r="C14" s="55">
        <v>106398144.81</v>
      </c>
      <c r="D14" s="55">
        <v>10932320</v>
      </c>
      <c r="E14" s="11">
        <f t="shared" si="0"/>
        <v>95465824.810000002</v>
      </c>
      <c r="F14" s="6">
        <f t="shared" si="1"/>
        <v>2.7</v>
      </c>
      <c r="G14" s="6">
        <v>1</v>
      </c>
    </row>
    <row r="15" spans="1:7" ht="30">
      <c r="A15" s="1">
        <v>618</v>
      </c>
      <c r="B15" s="1" t="s">
        <v>7</v>
      </c>
      <c r="C15" s="55">
        <v>102928662.29000001</v>
      </c>
      <c r="D15" s="55">
        <v>9635286.7600000054</v>
      </c>
      <c r="E15" s="11">
        <f t="shared" si="0"/>
        <v>93293375.530000001</v>
      </c>
      <c r="F15" s="6">
        <f t="shared" si="1"/>
        <v>2.64</v>
      </c>
      <c r="G15" s="6">
        <v>1</v>
      </c>
    </row>
    <row r="16" spans="1:7" ht="30">
      <c r="A16" s="1">
        <v>619</v>
      </c>
      <c r="B16" s="1" t="s">
        <v>8</v>
      </c>
      <c r="C16" s="55">
        <v>162127665.84999999</v>
      </c>
      <c r="D16" s="55">
        <v>4681524.8400000036</v>
      </c>
      <c r="E16" s="11">
        <f t="shared" si="0"/>
        <v>157446141.00999999</v>
      </c>
      <c r="F16" s="6">
        <f t="shared" si="1"/>
        <v>4.46</v>
      </c>
      <c r="G16" s="6">
        <v>1.2</v>
      </c>
    </row>
    <row r="17" spans="1:7" ht="30">
      <c r="A17" s="1">
        <v>620</v>
      </c>
      <c r="B17" s="1" t="s">
        <v>9</v>
      </c>
      <c r="C17" s="55">
        <v>1272709323.3299997</v>
      </c>
      <c r="D17" s="55">
        <v>666568138.49999964</v>
      </c>
      <c r="E17" s="11">
        <f t="shared" si="0"/>
        <v>606141184.83000004</v>
      </c>
      <c r="F17" s="6">
        <f t="shared" si="1"/>
        <v>17.170000000000002</v>
      </c>
      <c r="G17" s="6">
        <v>1.8</v>
      </c>
    </row>
    <row r="18" spans="1:7" ht="30">
      <c r="A18" s="1">
        <v>621</v>
      </c>
      <c r="B18" s="1" t="s">
        <v>10</v>
      </c>
      <c r="C18" s="55">
        <v>167099780.91</v>
      </c>
      <c r="D18" s="55">
        <v>17934552.139999986</v>
      </c>
      <c r="E18" s="11">
        <f t="shared" si="0"/>
        <v>149165228.77000001</v>
      </c>
      <c r="F18" s="6">
        <f t="shared" si="1"/>
        <v>4.2300000000000004</v>
      </c>
      <c r="G18" s="6">
        <v>1.2</v>
      </c>
    </row>
    <row r="19" spans="1:7" ht="45">
      <c r="A19" s="1">
        <v>624</v>
      </c>
      <c r="B19" s="1" t="s">
        <v>171</v>
      </c>
      <c r="C19" s="55">
        <v>97128996.289999992</v>
      </c>
      <c r="D19" s="55">
        <v>470220</v>
      </c>
      <c r="E19" s="11">
        <f t="shared" si="0"/>
        <v>96658776.289999992</v>
      </c>
      <c r="F19" s="6">
        <f t="shared" si="1"/>
        <v>2.74</v>
      </c>
      <c r="G19" s="6">
        <v>1</v>
      </c>
    </row>
    <row r="20" spans="1:7" ht="15.75" thickBot="1">
      <c r="A20" s="12"/>
      <c r="B20" s="13"/>
      <c r="C20" s="108">
        <f>SUM(C6:C19)</f>
        <v>7709724629.9900017</v>
      </c>
      <c r="D20" s="108">
        <f>SUM(D6:D19)</f>
        <v>4180131514.3599997</v>
      </c>
      <c r="E20" s="108">
        <f>SUM(E6:E19)</f>
        <v>3529593115.6300006</v>
      </c>
      <c r="F20" s="109">
        <f>SUM(F6:F19)</f>
        <v>99.99</v>
      </c>
    </row>
    <row r="21" spans="1:7">
      <c r="E21" s="49">
        <f>C20-D20</f>
        <v>3529593115.630002</v>
      </c>
    </row>
    <row r="22" spans="1:7">
      <c r="E22" s="60"/>
    </row>
  </sheetData>
  <sheetProtection formatCells="0" formatColumns="0" formatRows="0" insertColumns="0" insertRows="0" insertHyperlinks="0" deleteColumns="0" deleteRows="0" sort="0" autoFilter="0" pivotTables="0"/>
  <sortState ref="A6:G24">
    <sortCondition ref="A6"/>
  </sortState>
  <mergeCells count="2">
    <mergeCell ref="A1:F1"/>
    <mergeCell ref="A2:G2"/>
  </mergeCells>
  <pageMargins left="0.35433070866141736" right="0.19685039370078741" top="0.74803149606299213" bottom="0.74803149606299213" header="0.31496062992125984" footer="0.31496062992125984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tabColor rgb="FFFF99FF"/>
  </sheetPr>
  <dimension ref="A3:BS40"/>
  <sheetViews>
    <sheetView view="pageBreakPreview" zoomScale="77" zoomScaleNormal="70" zoomScaleSheetLayoutView="77" workbookViewId="0">
      <pane xSplit="1" ySplit="6" topLeftCell="H28" activePane="bottomRight" state="frozen"/>
      <selection activeCell="C16" sqref="C16"/>
      <selection pane="topRight" activeCell="C16" sqref="C16"/>
      <selection pane="bottomLeft" activeCell="C16" sqref="C16"/>
      <selection pane="bottomRight" activeCell="R37" sqref="R37"/>
    </sheetView>
  </sheetViews>
  <sheetFormatPr defaultColWidth="9.140625" defaultRowHeight="15"/>
  <cols>
    <col min="1" max="1" width="60.140625" style="7" customWidth="1"/>
    <col min="2" max="3" width="13" style="26" customWidth="1"/>
    <col min="4" max="4" width="11.140625" style="5" bestFit="1" customWidth="1"/>
    <col min="5" max="5" width="14.5703125" style="5" customWidth="1"/>
    <col min="6" max="6" width="13" style="5" customWidth="1"/>
    <col min="7" max="7" width="13.7109375" style="5" customWidth="1"/>
    <col min="8" max="8" width="11.42578125" style="5" customWidth="1"/>
    <col min="9" max="9" width="11.28515625" style="5" customWidth="1"/>
    <col min="10" max="10" width="11" style="5" customWidth="1"/>
    <col min="11" max="11" width="10.28515625" style="5" customWidth="1"/>
    <col min="12" max="12" width="13.7109375" style="5" customWidth="1"/>
    <col min="13" max="13" width="11.42578125" style="5" customWidth="1"/>
    <col min="14" max="14" width="11.28515625" style="5" customWidth="1"/>
    <col min="15" max="15" width="11" style="5" customWidth="1"/>
    <col min="16" max="16" width="10.28515625" style="5" customWidth="1"/>
    <col min="17" max="17" width="13.7109375" style="5" customWidth="1"/>
    <col min="18" max="18" width="11.42578125" style="5" customWidth="1"/>
    <col min="19" max="19" width="11.28515625" style="5" customWidth="1"/>
    <col min="20" max="20" width="11" style="5" customWidth="1"/>
    <col min="21" max="21" width="10.28515625" style="5" customWidth="1"/>
    <col min="22" max="22" width="13.7109375" style="5" customWidth="1"/>
    <col min="23" max="23" width="11.42578125" style="5" customWidth="1"/>
    <col min="24" max="24" width="11.28515625" style="5" customWidth="1"/>
    <col min="25" max="25" width="11" style="5" customWidth="1"/>
    <col min="26" max="26" width="10.28515625" style="5" customWidth="1"/>
    <col min="27" max="27" width="13.7109375" style="5" customWidth="1"/>
    <col min="28" max="28" width="11.42578125" style="5" customWidth="1"/>
    <col min="29" max="29" width="11.28515625" style="5" customWidth="1"/>
    <col min="30" max="30" width="12.140625" style="5" customWidth="1"/>
    <col min="31" max="31" width="10.28515625" style="5" customWidth="1"/>
    <col min="32" max="32" width="13.7109375" style="5" customWidth="1"/>
    <col min="33" max="33" width="11.42578125" style="5" customWidth="1"/>
    <col min="34" max="34" width="11.28515625" style="5" customWidth="1"/>
    <col min="35" max="35" width="11" style="5" customWidth="1"/>
    <col min="36" max="36" width="10.28515625" style="5" customWidth="1"/>
    <col min="37" max="37" width="13.7109375" style="5" customWidth="1"/>
    <col min="38" max="38" width="11.42578125" style="5" customWidth="1"/>
    <col min="39" max="39" width="11.28515625" style="5" customWidth="1"/>
    <col min="40" max="40" width="11" style="5" customWidth="1"/>
    <col min="41" max="41" width="10.28515625" style="5" customWidth="1"/>
    <col min="42" max="42" width="13.7109375" style="5" customWidth="1"/>
    <col min="43" max="43" width="11.42578125" style="5" customWidth="1"/>
    <col min="44" max="44" width="11.28515625" style="5" customWidth="1"/>
    <col min="45" max="45" width="11" style="5" customWidth="1"/>
    <col min="46" max="46" width="10.28515625" style="5" customWidth="1"/>
    <col min="47" max="47" width="13.7109375" style="5" customWidth="1"/>
    <col min="48" max="48" width="11.42578125" style="5" customWidth="1"/>
    <col min="49" max="49" width="11.28515625" style="5" customWidth="1"/>
    <col min="50" max="50" width="11" style="5" customWidth="1"/>
    <col min="51" max="51" width="10.28515625" style="5" customWidth="1"/>
    <col min="52" max="52" width="13.7109375" style="5" customWidth="1"/>
    <col min="53" max="53" width="11.42578125" style="5" customWidth="1"/>
    <col min="54" max="54" width="11.28515625" style="5" customWidth="1"/>
    <col min="55" max="55" width="11" style="5" customWidth="1"/>
    <col min="56" max="56" width="10.28515625" style="5" customWidth="1"/>
    <col min="57" max="57" width="13.7109375" style="5" customWidth="1"/>
    <col min="58" max="58" width="11.42578125" style="5" customWidth="1"/>
    <col min="59" max="59" width="11.28515625" style="5" customWidth="1"/>
    <col min="60" max="60" width="11" style="5" customWidth="1"/>
    <col min="61" max="61" width="10.28515625" style="5" customWidth="1"/>
    <col min="62" max="62" width="13.7109375" style="5" customWidth="1"/>
    <col min="63" max="63" width="11.42578125" style="5" customWidth="1"/>
    <col min="64" max="64" width="11.28515625" style="5" customWidth="1"/>
    <col min="65" max="65" width="11" style="5" customWidth="1"/>
    <col min="66" max="66" width="10.28515625" style="5" customWidth="1"/>
    <col min="67" max="67" width="13.7109375" style="5" customWidth="1"/>
    <col min="68" max="68" width="11.42578125" style="5" customWidth="1"/>
    <col min="69" max="69" width="11.28515625" style="5" customWidth="1"/>
    <col min="70" max="70" width="11" style="5" customWidth="1"/>
    <col min="71" max="71" width="10.28515625" style="5" customWidth="1"/>
    <col min="72" max="16384" width="9.140625" style="5"/>
  </cols>
  <sheetData>
    <row r="3" spans="1:71" ht="20.65" customHeight="1"/>
    <row r="5" spans="1:71" ht="15.75" thickBot="1"/>
    <row r="6" spans="1:71" ht="14.45" customHeight="1">
      <c r="A6" s="41" t="s">
        <v>11</v>
      </c>
      <c r="B6" s="121">
        <v>601</v>
      </c>
      <c r="C6" s="122"/>
      <c r="D6" s="122"/>
      <c r="E6" s="122"/>
      <c r="F6" s="123"/>
      <c r="G6" s="118">
        <v>602</v>
      </c>
      <c r="H6" s="119"/>
      <c r="I6" s="119"/>
      <c r="J6" s="119"/>
      <c r="K6" s="120"/>
      <c r="L6" s="118">
        <v>604</v>
      </c>
      <c r="M6" s="119"/>
      <c r="N6" s="119"/>
      <c r="O6" s="119"/>
      <c r="P6" s="120"/>
      <c r="Q6" s="118">
        <v>605</v>
      </c>
      <c r="R6" s="119"/>
      <c r="S6" s="119"/>
      <c r="T6" s="119"/>
      <c r="U6" s="120"/>
      <c r="V6" s="118">
        <v>606</v>
      </c>
      <c r="W6" s="119"/>
      <c r="X6" s="119"/>
      <c r="Y6" s="119"/>
      <c r="Z6" s="120"/>
      <c r="AA6" s="118">
        <v>607</v>
      </c>
      <c r="AB6" s="119"/>
      <c r="AC6" s="119"/>
      <c r="AD6" s="119"/>
      <c r="AE6" s="120"/>
      <c r="AF6" s="118">
        <v>609</v>
      </c>
      <c r="AG6" s="119"/>
      <c r="AH6" s="119"/>
      <c r="AI6" s="119"/>
      <c r="AJ6" s="120"/>
      <c r="AK6" s="118">
        <v>611</v>
      </c>
      <c r="AL6" s="119"/>
      <c r="AM6" s="119"/>
      <c r="AN6" s="119"/>
      <c r="AO6" s="120"/>
      <c r="AP6" s="118">
        <v>617</v>
      </c>
      <c r="AQ6" s="119"/>
      <c r="AR6" s="119"/>
      <c r="AS6" s="119"/>
      <c r="AT6" s="120"/>
      <c r="AU6" s="118">
        <v>618</v>
      </c>
      <c r="AV6" s="119"/>
      <c r="AW6" s="119"/>
      <c r="AX6" s="119"/>
      <c r="AY6" s="120"/>
      <c r="AZ6" s="118">
        <v>619</v>
      </c>
      <c r="BA6" s="119"/>
      <c r="BB6" s="119"/>
      <c r="BC6" s="119"/>
      <c r="BD6" s="120"/>
      <c r="BE6" s="118">
        <v>620</v>
      </c>
      <c r="BF6" s="119"/>
      <c r="BG6" s="119"/>
      <c r="BH6" s="119"/>
      <c r="BI6" s="120"/>
      <c r="BJ6" s="118">
        <v>621</v>
      </c>
      <c r="BK6" s="119"/>
      <c r="BL6" s="119"/>
      <c r="BM6" s="119"/>
      <c r="BN6" s="120"/>
      <c r="BO6" s="118">
        <v>624</v>
      </c>
      <c r="BP6" s="119"/>
      <c r="BQ6" s="119"/>
      <c r="BR6" s="119"/>
      <c r="BS6" s="120"/>
    </row>
    <row r="7" spans="1:71" s="16" customFormat="1" ht="76.5">
      <c r="A7" s="66" t="s">
        <v>163</v>
      </c>
      <c r="B7" s="31" t="s">
        <v>94</v>
      </c>
      <c r="C7" s="27" t="s">
        <v>95</v>
      </c>
      <c r="D7" s="28" t="s">
        <v>96</v>
      </c>
      <c r="E7" s="28" t="s">
        <v>97</v>
      </c>
      <c r="F7" s="32" t="s">
        <v>93</v>
      </c>
      <c r="G7" s="31" t="s">
        <v>94</v>
      </c>
      <c r="H7" s="27" t="s">
        <v>95</v>
      </c>
      <c r="I7" s="28" t="s">
        <v>96</v>
      </c>
      <c r="J7" s="28" t="s">
        <v>97</v>
      </c>
      <c r="K7" s="32" t="s">
        <v>93</v>
      </c>
      <c r="L7" s="31" t="s">
        <v>94</v>
      </c>
      <c r="M7" s="27" t="s">
        <v>95</v>
      </c>
      <c r="N7" s="28" t="s">
        <v>96</v>
      </c>
      <c r="O7" s="28" t="s">
        <v>97</v>
      </c>
      <c r="P7" s="32" t="s">
        <v>93</v>
      </c>
      <c r="Q7" s="31" t="s">
        <v>94</v>
      </c>
      <c r="R7" s="27" t="s">
        <v>95</v>
      </c>
      <c r="S7" s="28" t="s">
        <v>96</v>
      </c>
      <c r="T7" s="28" t="s">
        <v>97</v>
      </c>
      <c r="U7" s="32" t="s">
        <v>93</v>
      </c>
      <c r="V7" s="31" t="s">
        <v>94</v>
      </c>
      <c r="W7" s="27" t="s">
        <v>95</v>
      </c>
      <c r="X7" s="28" t="s">
        <v>96</v>
      </c>
      <c r="Y7" s="28" t="s">
        <v>97</v>
      </c>
      <c r="Z7" s="32" t="s">
        <v>93</v>
      </c>
      <c r="AA7" s="31" t="s">
        <v>94</v>
      </c>
      <c r="AB7" s="27" t="s">
        <v>95</v>
      </c>
      <c r="AC7" s="28" t="s">
        <v>96</v>
      </c>
      <c r="AD7" s="28" t="s">
        <v>97</v>
      </c>
      <c r="AE7" s="32" t="s">
        <v>93</v>
      </c>
      <c r="AF7" s="31" t="s">
        <v>94</v>
      </c>
      <c r="AG7" s="27" t="s">
        <v>95</v>
      </c>
      <c r="AH7" s="28" t="s">
        <v>96</v>
      </c>
      <c r="AI7" s="28" t="s">
        <v>97</v>
      </c>
      <c r="AJ7" s="32" t="s">
        <v>93</v>
      </c>
      <c r="AK7" s="31" t="s">
        <v>94</v>
      </c>
      <c r="AL7" s="27" t="s">
        <v>95</v>
      </c>
      <c r="AM7" s="28" t="s">
        <v>96</v>
      </c>
      <c r="AN7" s="28" t="s">
        <v>97</v>
      </c>
      <c r="AO7" s="32" t="s">
        <v>93</v>
      </c>
      <c r="AP7" s="31" t="s">
        <v>94</v>
      </c>
      <c r="AQ7" s="27" t="s">
        <v>95</v>
      </c>
      <c r="AR7" s="28" t="s">
        <v>96</v>
      </c>
      <c r="AS7" s="28" t="s">
        <v>97</v>
      </c>
      <c r="AT7" s="32" t="s">
        <v>93</v>
      </c>
      <c r="AU7" s="31" t="s">
        <v>94</v>
      </c>
      <c r="AV7" s="27" t="s">
        <v>95</v>
      </c>
      <c r="AW7" s="28" t="s">
        <v>96</v>
      </c>
      <c r="AX7" s="28" t="s">
        <v>97</v>
      </c>
      <c r="AY7" s="32" t="s">
        <v>93</v>
      </c>
      <c r="AZ7" s="31" t="s">
        <v>94</v>
      </c>
      <c r="BA7" s="27" t="s">
        <v>95</v>
      </c>
      <c r="BB7" s="28" t="s">
        <v>96</v>
      </c>
      <c r="BC7" s="28" t="s">
        <v>97</v>
      </c>
      <c r="BD7" s="32" t="s">
        <v>93</v>
      </c>
      <c r="BE7" s="31" t="s">
        <v>94</v>
      </c>
      <c r="BF7" s="27" t="s">
        <v>95</v>
      </c>
      <c r="BG7" s="28" t="s">
        <v>96</v>
      </c>
      <c r="BH7" s="28" t="s">
        <v>97</v>
      </c>
      <c r="BI7" s="32" t="s">
        <v>93</v>
      </c>
      <c r="BJ7" s="31" t="s">
        <v>94</v>
      </c>
      <c r="BK7" s="27" t="s">
        <v>95</v>
      </c>
      <c r="BL7" s="28" t="s">
        <v>96</v>
      </c>
      <c r="BM7" s="28" t="s">
        <v>97</v>
      </c>
      <c r="BN7" s="32" t="s">
        <v>93</v>
      </c>
      <c r="BO7" s="31" t="s">
        <v>94</v>
      </c>
      <c r="BP7" s="27" t="s">
        <v>95</v>
      </c>
      <c r="BQ7" s="28" t="s">
        <v>96</v>
      </c>
      <c r="BR7" s="28" t="s">
        <v>97</v>
      </c>
      <c r="BS7" s="32" t="s">
        <v>93</v>
      </c>
    </row>
    <row r="8" spans="1:71" s="25" customFormat="1" ht="14.25">
      <c r="A8" s="43" t="s">
        <v>0</v>
      </c>
      <c r="B8" s="36">
        <v>0.17</v>
      </c>
      <c r="C8" s="36">
        <f>ROUND(B8*100%/96%,5)</f>
        <v>0.17707999999999999</v>
      </c>
      <c r="D8" s="29"/>
      <c r="E8" s="29">
        <f>E9+E10</f>
        <v>3.5</v>
      </c>
      <c r="F8" s="33">
        <f>ROUND(E8*C8,2)</f>
        <v>0.62</v>
      </c>
      <c r="G8" s="36">
        <v>0.17</v>
      </c>
      <c r="H8" s="36">
        <f>ROUND(G8*100%/96%,5)</f>
        <v>0.17707999999999999</v>
      </c>
      <c r="I8" s="29"/>
      <c r="J8" s="29">
        <f>J9+J10</f>
        <v>4</v>
      </c>
      <c r="K8" s="33">
        <f>ROUND(J8*H8,2)</f>
        <v>0.71</v>
      </c>
      <c r="L8" s="36">
        <v>0.17</v>
      </c>
      <c r="M8" s="36">
        <f>ROUND(L8*100%/96%,5)</f>
        <v>0.17707999999999999</v>
      </c>
      <c r="N8" s="29"/>
      <c r="O8" s="29">
        <f>O9+O10</f>
        <v>4</v>
      </c>
      <c r="P8" s="33">
        <f>ROUND(O8*M8,2)</f>
        <v>0.71</v>
      </c>
      <c r="Q8" s="36">
        <v>0.17</v>
      </c>
      <c r="R8" s="36">
        <f>ROUND(Q8*100%/96%,5)</f>
        <v>0.17707999999999999</v>
      </c>
      <c r="S8" s="29"/>
      <c r="T8" s="29">
        <f>T9+T10</f>
        <v>3.5</v>
      </c>
      <c r="U8" s="33">
        <f>ROUND(T8*R8,2)</f>
        <v>0.62</v>
      </c>
      <c r="V8" s="36">
        <v>0.17</v>
      </c>
      <c r="W8" s="36">
        <v>0.17</v>
      </c>
      <c r="X8" s="29"/>
      <c r="Y8" s="29">
        <f>Y9+Y10</f>
        <v>4</v>
      </c>
      <c r="Z8" s="33">
        <f>ROUND(Y8*W8,2)</f>
        <v>0.68</v>
      </c>
      <c r="AA8" s="36">
        <v>0.17</v>
      </c>
      <c r="AB8" s="36">
        <v>0.17</v>
      </c>
      <c r="AC8" s="29"/>
      <c r="AD8" s="29">
        <f>AD9+AD10</f>
        <v>5</v>
      </c>
      <c r="AE8" s="33">
        <f>ROUND(AD8*AB8,2)</f>
        <v>0.85</v>
      </c>
      <c r="AF8" s="36">
        <v>0.17</v>
      </c>
      <c r="AG8" s="36">
        <f>ROUND(AF8*100%/96%,5)</f>
        <v>0.17707999999999999</v>
      </c>
      <c r="AH8" s="29"/>
      <c r="AI8" s="29">
        <f>AI9+AI10</f>
        <v>4.5</v>
      </c>
      <c r="AJ8" s="33">
        <f>ROUND(AI8*AG8,2)</f>
        <v>0.8</v>
      </c>
      <c r="AK8" s="36">
        <v>0.17</v>
      </c>
      <c r="AL8" s="36">
        <v>0.17</v>
      </c>
      <c r="AM8" s="29"/>
      <c r="AN8" s="29">
        <f>AN9+AN10</f>
        <v>4</v>
      </c>
      <c r="AO8" s="33">
        <f>ROUND(AN8*AL8,2)</f>
        <v>0.68</v>
      </c>
      <c r="AP8" s="36">
        <v>0.17</v>
      </c>
      <c r="AQ8" s="36">
        <f>ROUND(AP8*100%/96%,5)</f>
        <v>0.17707999999999999</v>
      </c>
      <c r="AR8" s="29"/>
      <c r="AS8" s="29">
        <f>AS9+AS10</f>
        <v>5</v>
      </c>
      <c r="AT8" s="33">
        <f>ROUND(AS8*AQ8,2)</f>
        <v>0.89</v>
      </c>
      <c r="AU8" s="36">
        <v>0.17</v>
      </c>
      <c r="AV8" s="36">
        <f>ROUND(AU8*100%/96%,5)</f>
        <v>0.17707999999999999</v>
      </c>
      <c r="AW8" s="29"/>
      <c r="AX8" s="29">
        <f>AX9+AX10</f>
        <v>5</v>
      </c>
      <c r="AY8" s="33">
        <f>ROUND(AX8*AV8,2)</f>
        <v>0.89</v>
      </c>
      <c r="AZ8" s="36">
        <v>0.17</v>
      </c>
      <c r="BA8" s="36">
        <f>ROUND(AZ8*100%/96%,5)</f>
        <v>0.17707999999999999</v>
      </c>
      <c r="BB8" s="29"/>
      <c r="BC8" s="29">
        <f>BC9+BC10</f>
        <v>5</v>
      </c>
      <c r="BD8" s="33">
        <f>ROUND(BC8*BA8,2)</f>
        <v>0.89</v>
      </c>
      <c r="BE8" s="36">
        <v>0.17</v>
      </c>
      <c r="BF8" s="36">
        <v>0.15</v>
      </c>
      <c r="BG8" s="29"/>
      <c r="BH8" s="29">
        <f>BH9+BH10</f>
        <v>3</v>
      </c>
      <c r="BI8" s="33">
        <f>ROUND(BH8*BF8,2)</f>
        <v>0.45</v>
      </c>
      <c r="BJ8" s="36">
        <v>0.17</v>
      </c>
      <c r="BK8" s="36">
        <f>ROUND(BJ8*100%/96%,5)</f>
        <v>0.17707999999999999</v>
      </c>
      <c r="BL8" s="29"/>
      <c r="BM8" s="29">
        <f>BM9+BM10</f>
        <v>2.5</v>
      </c>
      <c r="BN8" s="33">
        <f>ROUND(BM8*BK8,2)</f>
        <v>0.44</v>
      </c>
      <c r="BO8" s="36">
        <v>0.17</v>
      </c>
      <c r="BP8" s="36">
        <v>0.15</v>
      </c>
      <c r="BQ8" s="29"/>
      <c r="BR8" s="29">
        <f>BR9+BR10</f>
        <v>5</v>
      </c>
      <c r="BS8" s="33">
        <f>ROUND(BR8*BP8,2)</f>
        <v>0.75</v>
      </c>
    </row>
    <row r="9" spans="1:71" s="24" customFormat="1" ht="30">
      <c r="A9" s="54" t="s">
        <v>79</v>
      </c>
      <c r="B9" s="45">
        <v>0.5</v>
      </c>
      <c r="C9" s="45">
        <v>0.5</v>
      </c>
      <c r="D9" s="19">
        <f>VLOOKUP(B6,'1.1. кач. план.'!$A$9:$F$22,6,0)</f>
        <v>3</v>
      </c>
      <c r="E9" s="19">
        <f>ROUND(D9*C9,2)</f>
        <v>1.5</v>
      </c>
      <c r="F9" s="47"/>
      <c r="G9" s="45">
        <v>0.5</v>
      </c>
      <c r="H9" s="45">
        <v>0.5</v>
      </c>
      <c r="I9" s="19">
        <f>VLOOKUP(G6,'1.1. кач. план.'!$A$9:$F$22,6,0)</f>
        <v>5</v>
      </c>
      <c r="J9" s="19">
        <f>ROUND(I9*H9,2)</f>
        <v>2.5</v>
      </c>
      <c r="K9" s="47"/>
      <c r="L9" s="45">
        <v>0.5</v>
      </c>
      <c r="M9" s="45">
        <v>0.5</v>
      </c>
      <c r="N9" s="19">
        <f>VLOOKUP(L6,'1.1. кач. план.'!$A$9:$F$22,6,0)</f>
        <v>5</v>
      </c>
      <c r="O9" s="19">
        <f>ROUND(N9*M9,2)</f>
        <v>2.5</v>
      </c>
      <c r="P9" s="47"/>
      <c r="Q9" s="45">
        <v>0.5</v>
      </c>
      <c r="R9" s="45">
        <v>0.5</v>
      </c>
      <c r="S9" s="19">
        <f>VLOOKUP(Q6,'1.1. кач. план.'!$A$9:$F$22,6,0)</f>
        <v>5</v>
      </c>
      <c r="T9" s="19">
        <f>ROUND(S9*R9,2)</f>
        <v>2.5</v>
      </c>
      <c r="U9" s="47"/>
      <c r="V9" s="45">
        <v>0.5</v>
      </c>
      <c r="W9" s="45">
        <v>0.5</v>
      </c>
      <c r="X9" s="19">
        <f>VLOOKUP(V6,'1.1. кач. план.'!$A$9:$F$22,6,0)</f>
        <v>3</v>
      </c>
      <c r="Y9" s="19">
        <f>ROUND(X9*W9,2)</f>
        <v>1.5</v>
      </c>
      <c r="Z9" s="47"/>
      <c r="AA9" s="45">
        <v>0.5</v>
      </c>
      <c r="AB9" s="45">
        <v>0.5</v>
      </c>
      <c r="AC9" s="19">
        <f>VLOOKUP(AA6,'1.1. кач. план.'!$A$9:$F$22,6,0)</f>
        <v>5</v>
      </c>
      <c r="AD9" s="19">
        <f>ROUND(AC9*AB9,2)</f>
        <v>2.5</v>
      </c>
      <c r="AE9" s="47"/>
      <c r="AF9" s="45">
        <v>0.5</v>
      </c>
      <c r="AG9" s="45">
        <v>0.5</v>
      </c>
      <c r="AH9" s="19">
        <f>VLOOKUP(AF6,'1.1. кач. план.'!$A$9:$F$22,6,0)</f>
        <v>4</v>
      </c>
      <c r="AI9" s="19">
        <f>ROUND(AH9*AG9,2)</f>
        <v>2</v>
      </c>
      <c r="AJ9" s="47"/>
      <c r="AK9" s="45">
        <v>0.5</v>
      </c>
      <c r="AL9" s="45">
        <v>0.5</v>
      </c>
      <c r="AM9" s="19">
        <f>VLOOKUP(AK6,'1.1. кач. план.'!$A$9:$F$22,6,0)</f>
        <v>3</v>
      </c>
      <c r="AN9" s="19">
        <f>ROUND(AM9*AL9,2)</f>
        <v>1.5</v>
      </c>
      <c r="AO9" s="47"/>
      <c r="AP9" s="45">
        <v>0.5</v>
      </c>
      <c r="AQ9" s="45">
        <v>0.5</v>
      </c>
      <c r="AR9" s="19">
        <f>VLOOKUP(AP6,'1.1. кач. план.'!$A$9:$F$22,6,0)</f>
        <v>5</v>
      </c>
      <c r="AS9" s="19">
        <f>ROUND(AR9*AQ9,2)</f>
        <v>2.5</v>
      </c>
      <c r="AT9" s="47"/>
      <c r="AU9" s="45">
        <v>0.5</v>
      </c>
      <c r="AV9" s="45">
        <v>0.5</v>
      </c>
      <c r="AW9" s="19">
        <f>VLOOKUP(AU6,'1.1. кач. план.'!$A$9:$F$22,6,0)</f>
        <v>5</v>
      </c>
      <c r="AX9" s="19">
        <f>ROUND(AW9*AV9,2)</f>
        <v>2.5</v>
      </c>
      <c r="AY9" s="47"/>
      <c r="AZ9" s="45">
        <v>0.5</v>
      </c>
      <c r="BA9" s="45">
        <v>0.5</v>
      </c>
      <c r="BB9" s="19">
        <f>VLOOKUP(AZ6,'1.1. кач. план.'!$A$9:$F$22,6,0)</f>
        <v>5</v>
      </c>
      <c r="BC9" s="19">
        <f>ROUND(BB9*BA9,2)</f>
        <v>2.5</v>
      </c>
      <c r="BD9" s="47"/>
      <c r="BE9" s="45">
        <v>0.5</v>
      </c>
      <c r="BF9" s="45">
        <v>0.5</v>
      </c>
      <c r="BG9" s="19">
        <f>VLOOKUP(BE6,'1.1. кач. план.'!$A$9:$F$22,6,0)</f>
        <v>1</v>
      </c>
      <c r="BH9" s="19">
        <f>ROUND(BG9*BF9,2)</f>
        <v>0.5</v>
      </c>
      <c r="BI9" s="47"/>
      <c r="BJ9" s="45">
        <v>0.5</v>
      </c>
      <c r="BK9" s="45">
        <v>0.5</v>
      </c>
      <c r="BL9" s="19">
        <f>VLOOKUP(BJ6,'1.1. кач. план.'!$A$9:$F$22,6,0)</f>
        <v>0</v>
      </c>
      <c r="BM9" s="19">
        <f>ROUND(BL9*BK9,2)</f>
        <v>0</v>
      </c>
      <c r="BN9" s="47"/>
      <c r="BO9" s="45">
        <v>0.5</v>
      </c>
      <c r="BP9" s="45">
        <v>0.5</v>
      </c>
      <c r="BQ9" s="19">
        <f>VLOOKUP(BO6,'1.1. кач. план.'!$A$9:$F$22,6,0)</f>
        <v>5</v>
      </c>
      <c r="BR9" s="19">
        <f>ROUND(BQ9*BP9,2)</f>
        <v>2.5</v>
      </c>
      <c r="BS9" s="47"/>
    </row>
    <row r="10" spans="1:71" s="24" customFormat="1" ht="45">
      <c r="A10" s="54" t="s">
        <v>138</v>
      </c>
      <c r="B10" s="45">
        <v>0.5</v>
      </c>
      <c r="C10" s="45">
        <v>0.5</v>
      </c>
      <c r="D10" s="19">
        <f>VLOOKUP(B6,'1.2. доля МЦП'!$A$6:$H$19,8,0)</f>
        <v>4</v>
      </c>
      <c r="E10" s="19">
        <f>ROUND(D10*C10,2)</f>
        <v>2</v>
      </c>
      <c r="F10" s="47"/>
      <c r="G10" s="45">
        <v>0.5</v>
      </c>
      <c r="H10" s="45">
        <v>0.5</v>
      </c>
      <c r="I10" s="19">
        <f>VLOOKUP(G6,'1.2. доля МЦП'!$A$6:$H$19,8,0)</f>
        <v>3</v>
      </c>
      <c r="J10" s="19">
        <f>ROUND(I10*H10,2)</f>
        <v>1.5</v>
      </c>
      <c r="K10" s="47"/>
      <c r="L10" s="45">
        <v>0.5</v>
      </c>
      <c r="M10" s="45">
        <v>0.5</v>
      </c>
      <c r="N10" s="19">
        <f>VLOOKUP(L6,'1.2. доля МЦП'!$A$6:$H$19,8,0)</f>
        <v>3</v>
      </c>
      <c r="O10" s="19">
        <f>ROUND(N10*M10,2)</f>
        <v>1.5</v>
      </c>
      <c r="P10" s="47"/>
      <c r="Q10" s="45">
        <v>0.5</v>
      </c>
      <c r="R10" s="45">
        <v>0.5</v>
      </c>
      <c r="S10" s="19">
        <f>VLOOKUP(Q6,'1.2. доля МЦП'!$A$6:$H$19,8,0)</f>
        <v>2</v>
      </c>
      <c r="T10" s="19">
        <f>ROUND(S10*R10,2)</f>
        <v>1</v>
      </c>
      <c r="U10" s="47"/>
      <c r="V10" s="45">
        <v>0.5</v>
      </c>
      <c r="W10" s="45">
        <v>0.5</v>
      </c>
      <c r="X10" s="19">
        <f>VLOOKUP(V6,'1.2. доля МЦП'!$A$6:$H$19,8,0)</f>
        <v>5</v>
      </c>
      <c r="Y10" s="19">
        <f>ROUND(X10*W10,2)</f>
        <v>2.5</v>
      </c>
      <c r="Z10" s="47"/>
      <c r="AA10" s="45">
        <v>0.5</v>
      </c>
      <c r="AB10" s="45">
        <v>0.5</v>
      </c>
      <c r="AC10" s="19">
        <f>VLOOKUP(AA6,'1.2. доля МЦП'!$A$6:$H$19,8,0)</f>
        <v>5</v>
      </c>
      <c r="AD10" s="19">
        <f>ROUND(AC10*AB10,2)</f>
        <v>2.5</v>
      </c>
      <c r="AE10" s="47"/>
      <c r="AF10" s="45">
        <v>0.5</v>
      </c>
      <c r="AG10" s="45">
        <v>0.5</v>
      </c>
      <c r="AH10" s="19">
        <f>VLOOKUP(AF6,'1.2. доля МЦП'!$A$6:$H$19,8,0)</f>
        <v>5</v>
      </c>
      <c r="AI10" s="19">
        <f>ROUND(AH10*AG10,2)</f>
        <v>2.5</v>
      </c>
      <c r="AJ10" s="47"/>
      <c r="AK10" s="45">
        <v>0.5</v>
      </c>
      <c r="AL10" s="45">
        <v>0.5</v>
      </c>
      <c r="AM10" s="19">
        <f>VLOOKUP(AK6,'1.2. доля МЦП'!$A$6:$H$19,8,0)</f>
        <v>5</v>
      </c>
      <c r="AN10" s="19">
        <f>ROUND(AM10*AL10,2)</f>
        <v>2.5</v>
      </c>
      <c r="AO10" s="47"/>
      <c r="AP10" s="45">
        <v>0.5</v>
      </c>
      <c r="AQ10" s="45">
        <v>0.5</v>
      </c>
      <c r="AR10" s="19">
        <f>VLOOKUP(AP6,'1.2. доля МЦП'!$A$6:$H$19,8,0)</f>
        <v>5</v>
      </c>
      <c r="AS10" s="19">
        <f>ROUND(AR10*AQ10,2)</f>
        <v>2.5</v>
      </c>
      <c r="AT10" s="47"/>
      <c r="AU10" s="45">
        <v>0.5</v>
      </c>
      <c r="AV10" s="45">
        <v>0.5</v>
      </c>
      <c r="AW10" s="19">
        <f>VLOOKUP(AU6,'1.2. доля МЦП'!$A$6:$H$19,8,0)</f>
        <v>5</v>
      </c>
      <c r="AX10" s="19">
        <f>ROUND(AW10*AV10,2)</f>
        <v>2.5</v>
      </c>
      <c r="AY10" s="47"/>
      <c r="AZ10" s="45">
        <v>0.5</v>
      </c>
      <c r="BA10" s="45">
        <v>0.5</v>
      </c>
      <c r="BB10" s="19">
        <f>VLOOKUP(AZ6,'1.2. доля МЦП'!$A$6:$H$19,8,0)</f>
        <v>5</v>
      </c>
      <c r="BC10" s="19">
        <f>ROUND(BB10*BA10,2)</f>
        <v>2.5</v>
      </c>
      <c r="BD10" s="47"/>
      <c r="BE10" s="45">
        <v>0.5</v>
      </c>
      <c r="BF10" s="45">
        <v>0.5</v>
      </c>
      <c r="BG10" s="19">
        <f>VLOOKUP(BE6,'1.2. доля МЦП'!$A$6:$H$19,8,0)</f>
        <v>5</v>
      </c>
      <c r="BH10" s="19">
        <f>ROUND(BG10*BF10,2)</f>
        <v>2.5</v>
      </c>
      <c r="BI10" s="47"/>
      <c r="BJ10" s="45">
        <v>0.5</v>
      </c>
      <c r="BK10" s="45">
        <v>0.5</v>
      </c>
      <c r="BL10" s="19">
        <f>VLOOKUP(BJ6,'1.2. доля МЦП'!$A$6:$H$19,8,0)</f>
        <v>5</v>
      </c>
      <c r="BM10" s="19">
        <f>ROUND(BL10*BK10,2)</f>
        <v>2.5</v>
      </c>
      <c r="BN10" s="47"/>
      <c r="BO10" s="45">
        <v>0.5</v>
      </c>
      <c r="BP10" s="45">
        <v>0.5</v>
      </c>
      <c r="BQ10" s="19">
        <f>VLOOKUP(BO6,'1.2. доля МЦП'!$A$6:$H$19,8,0)</f>
        <v>5</v>
      </c>
      <c r="BR10" s="19">
        <f>ROUND(BQ10*BP10,2)</f>
        <v>2.5</v>
      </c>
      <c r="BS10" s="47"/>
    </row>
    <row r="11" spans="1:71" s="25" customFormat="1" ht="14.25">
      <c r="A11" s="43" t="s">
        <v>17</v>
      </c>
      <c r="B11" s="36">
        <v>0.23</v>
      </c>
      <c r="C11" s="36">
        <f>ROUND(B11*100%/96%,5)</f>
        <v>0.23957999999999999</v>
      </c>
      <c r="D11" s="29"/>
      <c r="E11" s="29">
        <f>SUM(E12:E17)</f>
        <v>3.72</v>
      </c>
      <c r="F11" s="33">
        <f>ROUND(E11*C11,2)</f>
        <v>0.89</v>
      </c>
      <c r="G11" s="36">
        <v>0.23</v>
      </c>
      <c r="H11" s="36">
        <f>ROUND(G11*100%/96%,5)</f>
        <v>0.23957999999999999</v>
      </c>
      <c r="I11" s="29"/>
      <c r="J11" s="29">
        <f>SUM(J12:J17)</f>
        <v>3.54</v>
      </c>
      <c r="K11" s="33">
        <f>ROUND(J11*H11,2)</f>
        <v>0.85</v>
      </c>
      <c r="L11" s="36">
        <v>0.23</v>
      </c>
      <c r="M11" s="36">
        <f>ROUND(L11*100%/96%,5)</f>
        <v>0.23957999999999999</v>
      </c>
      <c r="N11" s="29"/>
      <c r="O11" s="29">
        <f>SUM(O12:O17)</f>
        <v>3.6999999999999997</v>
      </c>
      <c r="P11" s="33">
        <f>ROUND(O11*M11,2)</f>
        <v>0.89</v>
      </c>
      <c r="Q11" s="36">
        <v>0.23</v>
      </c>
      <c r="R11" s="36">
        <f>ROUND(Q11*100%/96%,5)</f>
        <v>0.23957999999999999</v>
      </c>
      <c r="S11" s="29"/>
      <c r="T11" s="29">
        <f>SUM(T12:T17)</f>
        <v>4.6399999999999997</v>
      </c>
      <c r="U11" s="33">
        <f>ROUND(T11*R11,2)</f>
        <v>1.1100000000000001</v>
      </c>
      <c r="V11" s="36">
        <v>0.23</v>
      </c>
      <c r="W11" s="36">
        <v>0.23</v>
      </c>
      <c r="X11" s="29"/>
      <c r="Y11" s="29">
        <f>SUM(Y12:Y17)</f>
        <v>4.2799999999999994</v>
      </c>
      <c r="Z11" s="33">
        <f>ROUND(Y11*W11,2)</f>
        <v>0.98</v>
      </c>
      <c r="AA11" s="36">
        <v>0.23</v>
      </c>
      <c r="AB11" s="36">
        <v>0.23</v>
      </c>
      <c r="AC11" s="29"/>
      <c r="AD11" s="29">
        <f>SUM(AD12:AD17)</f>
        <v>4.0999999999999996</v>
      </c>
      <c r="AE11" s="33">
        <f>ROUND(AD11*AB11,2)</f>
        <v>0.94</v>
      </c>
      <c r="AF11" s="36">
        <v>0.23</v>
      </c>
      <c r="AG11" s="36">
        <f>ROUND(AF11*100%/96%,5)</f>
        <v>0.23957999999999999</v>
      </c>
      <c r="AH11" s="29"/>
      <c r="AI11" s="29">
        <f>SUM(AI12:AI17)</f>
        <v>4.84</v>
      </c>
      <c r="AJ11" s="33">
        <f>ROUND(AI11*AG11,2)</f>
        <v>1.1599999999999999</v>
      </c>
      <c r="AK11" s="36">
        <v>0.23</v>
      </c>
      <c r="AL11" s="36">
        <v>0.23</v>
      </c>
      <c r="AM11" s="29"/>
      <c r="AN11" s="29">
        <f>SUM(AN12:AN17)</f>
        <v>3.9</v>
      </c>
      <c r="AO11" s="33">
        <f>ROUND(AN11*AL11,2)</f>
        <v>0.9</v>
      </c>
      <c r="AP11" s="36">
        <v>0.23</v>
      </c>
      <c r="AQ11" s="36">
        <f>ROUND(AP11*100%/96%,5)</f>
        <v>0.23957999999999999</v>
      </c>
      <c r="AR11" s="29"/>
      <c r="AS11" s="29">
        <f>SUM(AS12:AS17)</f>
        <v>3.1</v>
      </c>
      <c r="AT11" s="33">
        <f>ROUND(AS11*AQ11,2)</f>
        <v>0.74</v>
      </c>
      <c r="AU11" s="36">
        <v>0.23</v>
      </c>
      <c r="AV11" s="36">
        <f>ROUND(AU11*100%/96%,5)</f>
        <v>0.23957999999999999</v>
      </c>
      <c r="AW11" s="29"/>
      <c r="AX11" s="29">
        <f>SUM(AX12:AX17)</f>
        <v>4.6399999999999997</v>
      </c>
      <c r="AY11" s="33">
        <f>ROUND(AX11*AV11,2)</f>
        <v>1.1100000000000001</v>
      </c>
      <c r="AZ11" s="36">
        <v>0.23</v>
      </c>
      <c r="BA11" s="36">
        <f>ROUND(AZ11*100%/96%,5)</f>
        <v>0.23957999999999999</v>
      </c>
      <c r="BB11" s="29"/>
      <c r="BC11" s="29">
        <f>SUM(BC12:BC17)</f>
        <v>3.94</v>
      </c>
      <c r="BD11" s="33">
        <f>ROUND(BC11*BA11,2)</f>
        <v>0.94</v>
      </c>
      <c r="BE11" s="36">
        <v>0.23</v>
      </c>
      <c r="BF11" s="36">
        <v>0.2</v>
      </c>
      <c r="BG11" s="29"/>
      <c r="BH11" s="29">
        <f>SUM(BH12:BH17)</f>
        <v>1.92</v>
      </c>
      <c r="BI11" s="33">
        <f>ROUND(BH11*BF11,2)</f>
        <v>0.38</v>
      </c>
      <c r="BJ11" s="36">
        <v>0.23</v>
      </c>
      <c r="BK11" s="36">
        <f>ROUND(BJ11*100%/96%,5)</f>
        <v>0.23957999999999999</v>
      </c>
      <c r="BL11" s="29"/>
      <c r="BM11" s="29">
        <f>SUM(BM12:BM17)</f>
        <v>2.0100000000000002</v>
      </c>
      <c r="BN11" s="33">
        <f>ROUND(BM11*BK11,2)</f>
        <v>0.48</v>
      </c>
      <c r="BO11" s="36">
        <v>0.23</v>
      </c>
      <c r="BP11" s="36">
        <v>0.2</v>
      </c>
      <c r="BQ11" s="29"/>
      <c r="BR11" s="29">
        <f>SUM(BR12:BR17)</f>
        <v>5</v>
      </c>
      <c r="BS11" s="33">
        <f>ROUND(BR11*BP11,2)</f>
        <v>1</v>
      </c>
    </row>
    <row r="12" spans="1:71" s="24" customFormat="1" ht="30">
      <c r="A12" s="54" t="s">
        <v>80</v>
      </c>
      <c r="B12" s="45">
        <v>0.2</v>
      </c>
      <c r="C12" s="45">
        <v>0.2</v>
      </c>
      <c r="D12" s="19">
        <f>VLOOKUP(B6,'2.1. неис. БА'!$A$6:$F$19,6,0)</f>
        <v>4</v>
      </c>
      <c r="E12" s="19">
        <f t="shared" ref="E12:E30" si="0">ROUND(D12*C12,2)</f>
        <v>0.8</v>
      </c>
      <c r="F12" s="47"/>
      <c r="G12" s="45">
        <v>0.2</v>
      </c>
      <c r="H12" s="45">
        <v>0.2</v>
      </c>
      <c r="I12" s="19">
        <f>VLOOKUP(G6,'2.1. неис. БА'!$A$6:$F$19,6,0)</f>
        <v>4</v>
      </c>
      <c r="J12" s="19">
        <f t="shared" ref="J12:J17" si="1">ROUND(I12*H12,2)</f>
        <v>0.8</v>
      </c>
      <c r="K12" s="47"/>
      <c r="L12" s="45">
        <v>0.2</v>
      </c>
      <c r="M12" s="45">
        <v>0.2</v>
      </c>
      <c r="N12" s="19">
        <f>VLOOKUP(L6,'2.1. неис. БА'!$A$6:$F$19,6,0)</f>
        <v>3</v>
      </c>
      <c r="O12" s="19">
        <f t="shared" ref="O12:O17" si="2">ROUND(N12*M12,2)</f>
        <v>0.6</v>
      </c>
      <c r="P12" s="47"/>
      <c r="Q12" s="45">
        <v>0.2</v>
      </c>
      <c r="R12" s="45">
        <v>0.2</v>
      </c>
      <c r="S12" s="19">
        <f>VLOOKUP(Q6,'2.1. неис. БА'!$A$6:$F$19,6,0)</f>
        <v>5</v>
      </c>
      <c r="T12" s="19">
        <f t="shared" ref="T12:T17" si="3">ROUND(S12*R12,2)</f>
        <v>1</v>
      </c>
      <c r="U12" s="47"/>
      <c r="V12" s="45">
        <v>0.2</v>
      </c>
      <c r="W12" s="45">
        <v>0.2</v>
      </c>
      <c r="X12" s="19">
        <f>VLOOKUP(V6,'2.1. неис. БА'!$A$6:$F$19,6,0)</f>
        <v>5</v>
      </c>
      <c r="Y12" s="19">
        <f t="shared" ref="Y12:Y17" si="4">ROUND(X12*W12,2)</f>
        <v>1</v>
      </c>
      <c r="Z12" s="47"/>
      <c r="AA12" s="45">
        <v>0.2</v>
      </c>
      <c r="AB12" s="45">
        <v>0.2</v>
      </c>
      <c r="AC12" s="19">
        <f>VLOOKUP(AA6,'2.1. неис. БА'!$A$6:$F$19,6,0)</f>
        <v>5</v>
      </c>
      <c r="AD12" s="19">
        <f t="shared" ref="AD12:AD17" si="5">ROUND(AC12*AB12,2)</f>
        <v>1</v>
      </c>
      <c r="AE12" s="47"/>
      <c r="AF12" s="45">
        <v>0.2</v>
      </c>
      <c r="AG12" s="45">
        <v>0.2</v>
      </c>
      <c r="AH12" s="19">
        <f>VLOOKUP(AF6,'2.1. неис. БА'!$A$6:$F$19,6,0)</f>
        <v>5</v>
      </c>
      <c r="AI12" s="19">
        <f t="shared" ref="AI12:AI17" si="6">ROUND(AH12*AG12,2)</f>
        <v>1</v>
      </c>
      <c r="AJ12" s="47"/>
      <c r="AK12" s="45">
        <v>0.2</v>
      </c>
      <c r="AL12" s="45">
        <v>0.2</v>
      </c>
      <c r="AM12" s="19">
        <f>VLOOKUP(AK6,'2.1. неис. БА'!$A$6:$F$19,6,0)</f>
        <v>4</v>
      </c>
      <c r="AN12" s="19">
        <f t="shared" ref="AN12:AN17" si="7">ROUND(AM12*AL12,2)</f>
        <v>0.8</v>
      </c>
      <c r="AO12" s="47"/>
      <c r="AP12" s="45">
        <v>0.2</v>
      </c>
      <c r="AQ12" s="45">
        <v>0.2</v>
      </c>
      <c r="AR12" s="19">
        <f>VLOOKUP(AP6,'2.1. неис. БА'!$A$6:$F$19,6,0)</f>
        <v>2</v>
      </c>
      <c r="AS12" s="19">
        <f t="shared" ref="AS12:AS17" si="8">ROUND(AR12*AQ12,2)</f>
        <v>0.4</v>
      </c>
      <c r="AT12" s="47"/>
      <c r="AU12" s="45">
        <v>0.2</v>
      </c>
      <c r="AV12" s="45">
        <v>0.2</v>
      </c>
      <c r="AW12" s="19">
        <f>VLOOKUP(AU6,'2.1. неис. БА'!$A$6:$F$19,6,0)</f>
        <v>5</v>
      </c>
      <c r="AX12" s="19">
        <f t="shared" ref="AX12:AX17" si="9">ROUND(AW12*AV12,2)</f>
        <v>1</v>
      </c>
      <c r="AY12" s="47"/>
      <c r="AZ12" s="45">
        <v>0.2</v>
      </c>
      <c r="BA12" s="45">
        <v>0.2</v>
      </c>
      <c r="BB12" s="19">
        <f>VLOOKUP(AZ6,'2.1. неис. БА'!$A$6:$F$19,6,0)</f>
        <v>5</v>
      </c>
      <c r="BC12" s="19">
        <f t="shared" ref="BC12:BC17" si="10">ROUND(BB12*BA12,2)</f>
        <v>1</v>
      </c>
      <c r="BD12" s="47"/>
      <c r="BE12" s="45">
        <v>0.2</v>
      </c>
      <c r="BF12" s="45">
        <v>0.2</v>
      </c>
      <c r="BG12" s="19">
        <f>VLOOKUP(BE6,'2.1. неис. БА'!$A$6:$F$19,6,0)</f>
        <v>1</v>
      </c>
      <c r="BH12" s="19">
        <f t="shared" ref="BH12:BH17" si="11">ROUND(BG12*BF12,2)</f>
        <v>0.2</v>
      </c>
      <c r="BI12" s="47"/>
      <c r="BJ12" s="45">
        <v>0.2</v>
      </c>
      <c r="BK12" s="45">
        <v>0.2</v>
      </c>
      <c r="BL12" s="19">
        <f>VLOOKUP(BJ6,'2.1. неис. БА'!$A$6:$F$19,6,0)</f>
        <v>0</v>
      </c>
      <c r="BM12" s="19">
        <f t="shared" ref="BM12:BM17" si="12">ROUND(BL12*BK12,2)</f>
        <v>0</v>
      </c>
      <c r="BN12" s="47"/>
      <c r="BO12" s="45">
        <v>0.2</v>
      </c>
      <c r="BP12" s="45">
        <v>0.2</v>
      </c>
      <c r="BQ12" s="19">
        <f>VLOOKUP(BO6,'2.1. неис. БА'!$A$6:$F$19,6,0)</f>
        <v>5</v>
      </c>
      <c r="BR12" s="19">
        <f t="shared" ref="BR12:BR17" si="13">ROUND(BQ12*BP12,2)</f>
        <v>1</v>
      </c>
      <c r="BS12" s="47"/>
    </row>
    <row r="13" spans="1:71" s="24" customFormat="1" ht="45">
      <c r="A13" s="54" t="s">
        <v>139</v>
      </c>
      <c r="B13" s="45">
        <v>0.2</v>
      </c>
      <c r="C13" s="45">
        <v>0.2</v>
      </c>
      <c r="D13" s="19">
        <f>VLOOKUP(B6,'2.2. неис. БА в части местн.'!$A$6:$F$19,6,0)</f>
        <v>4</v>
      </c>
      <c r="E13" s="19">
        <f t="shared" si="0"/>
        <v>0.8</v>
      </c>
      <c r="F13" s="47"/>
      <c r="G13" s="45">
        <v>0.2</v>
      </c>
      <c r="H13" s="45">
        <v>0.2</v>
      </c>
      <c r="I13" s="19">
        <f>VLOOKUP(G6,'2.2. неис. БА в части местн.'!$A$6:$F$19,6,0)</f>
        <v>4</v>
      </c>
      <c r="J13" s="19">
        <f t="shared" si="1"/>
        <v>0.8</v>
      </c>
      <c r="K13" s="47"/>
      <c r="L13" s="45">
        <v>0.2</v>
      </c>
      <c r="M13" s="45">
        <v>0.2</v>
      </c>
      <c r="N13" s="19">
        <f>VLOOKUP(L6,'2.2. неис. БА в части местн.'!$A$6:$F$19,6,0)</f>
        <v>3</v>
      </c>
      <c r="O13" s="19">
        <f t="shared" si="2"/>
        <v>0.6</v>
      </c>
      <c r="P13" s="47"/>
      <c r="Q13" s="45">
        <v>0.2</v>
      </c>
      <c r="R13" s="45">
        <v>0.2</v>
      </c>
      <c r="S13" s="19">
        <f>VLOOKUP(Q6,'2.2. неис. БА в части местн.'!$A$6:$F$19,6,0)</f>
        <v>5</v>
      </c>
      <c r="T13" s="19">
        <f t="shared" si="3"/>
        <v>1</v>
      </c>
      <c r="U13" s="47"/>
      <c r="V13" s="45">
        <v>0.2</v>
      </c>
      <c r="W13" s="45">
        <v>0.2</v>
      </c>
      <c r="X13" s="19">
        <f>VLOOKUP(V6,'2.2. неис. БА в части местн.'!$A$6:$F$19,6,0)</f>
        <v>4</v>
      </c>
      <c r="Y13" s="19">
        <f t="shared" si="4"/>
        <v>0.8</v>
      </c>
      <c r="Z13" s="47"/>
      <c r="AA13" s="45">
        <v>0.2</v>
      </c>
      <c r="AB13" s="45">
        <v>0.2</v>
      </c>
      <c r="AC13" s="19">
        <f>VLOOKUP(AA6,'2.2. неис. БА в части местн.'!$A$6:$F$19,6,0)</f>
        <v>5</v>
      </c>
      <c r="AD13" s="19">
        <f t="shared" si="5"/>
        <v>1</v>
      </c>
      <c r="AE13" s="47"/>
      <c r="AF13" s="45">
        <v>0.2</v>
      </c>
      <c r="AG13" s="45">
        <v>0.2</v>
      </c>
      <c r="AH13" s="19">
        <f>VLOOKUP(AF6,'2.2. неис. БА в части местн.'!$A$6:$F$19,6,0)</f>
        <v>5</v>
      </c>
      <c r="AI13" s="19">
        <f t="shared" si="6"/>
        <v>1</v>
      </c>
      <c r="AJ13" s="47"/>
      <c r="AK13" s="45">
        <v>0.2</v>
      </c>
      <c r="AL13" s="45">
        <v>0.2</v>
      </c>
      <c r="AM13" s="19">
        <f>VLOOKUP(AK6,'2.2. неис. БА в части местн.'!$A$6:$F$19,6,0)</f>
        <v>4</v>
      </c>
      <c r="AN13" s="19">
        <f t="shared" si="7"/>
        <v>0.8</v>
      </c>
      <c r="AO13" s="47"/>
      <c r="AP13" s="45">
        <v>0.2</v>
      </c>
      <c r="AQ13" s="45">
        <v>0.2</v>
      </c>
      <c r="AR13" s="19">
        <f>VLOOKUP(AP6,'2.2. неис. БА в части местн.'!$A$6:$F$19,6,0)</f>
        <v>2</v>
      </c>
      <c r="AS13" s="19">
        <f t="shared" si="8"/>
        <v>0.4</v>
      </c>
      <c r="AT13" s="47"/>
      <c r="AU13" s="45">
        <v>0.2</v>
      </c>
      <c r="AV13" s="45">
        <v>0.2</v>
      </c>
      <c r="AW13" s="19">
        <f>VLOOKUP(AU6,'2.2. неис. БА в части местн.'!$A$6:$F$19,6,0)</f>
        <v>5</v>
      </c>
      <c r="AX13" s="19">
        <f t="shared" si="9"/>
        <v>1</v>
      </c>
      <c r="AY13" s="47"/>
      <c r="AZ13" s="45">
        <v>0.2</v>
      </c>
      <c r="BA13" s="45">
        <v>0.2</v>
      </c>
      <c r="BB13" s="19">
        <f>VLOOKUP(AZ6,'2.2. неис. БА в части местн.'!$A$6:$F$19,6,0)</f>
        <v>5</v>
      </c>
      <c r="BC13" s="19">
        <f t="shared" si="10"/>
        <v>1</v>
      </c>
      <c r="BD13" s="47"/>
      <c r="BE13" s="45">
        <v>0.2</v>
      </c>
      <c r="BF13" s="45">
        <v>0.2</v>
      </c>
      <c r="BG13" s="19">
        <f>VLOOKUP(BE6,'2.2. неис. БА в части местн.'!$A$6:$F$19,6,0)</f>
        <v>1</v>
      </c>
      <c r="BH13" s="19">
        <f t="shared" si="11"/>
        <v>0.2</v>
      </c>
      <c r="BI13" s="47"/>
      <c r="BJ13" s="45">
        <v>0.2</v>
      </c>
      <c r="BK13" s="45">
        <v>0.2</v>
      </c>
      <c r="BL13" s="19">
        <f>VLOOKUP(BJ6,'2.2. неис. БА в части местн.'!$A$6:$F$19,6,0)</f>
        <v>1</v>
      </c>
      <c r="BM13" s="19">
        <f t="shared" si="12"/>
        <v>0.2</v>
      </c>
      <c r="BN13" s="47"/>
      <c r="BO13" s="45">
        <v>0.2</v>
      </c>
      <c r="BP13" s="45">
        <v>0.2</v>
      </c>
      <c r="BQ13" s="19">
        <f>VLOOKUP(BO6,'2.2. неис. БА в части местн.'!$A$6:$F$19,6,0)</f>
        <v>5</v>
      </c>
      <c r="BR13" s="19">
        <f t="shared" si="13"/>
        <v>1</v>
      </c>
      <c r="BS13" s="47"/>
    </row>
    <row r="14" spans="1:71" s="24" customFormat="1">
      <c r="A14" s="54" t="s">
        <v>140</v>
      </c>
      <c r="B14" s="45">
        <v>0.18</v>
      </c>
      <c r="C14" s="45">
        <v>0.18</v>
      </c>
      <c r="D14" s="19">
        <f>VLOOKUP(B6,'2.3. равн.расх'!$A$6:$H$19,8,0)</f>
        <v>1</v>
      </c>
      <c r="E14" s="19">
        <f t="shared" si="0"/>
        <v>0.18</v>
      </c>
      <c r="F14" s="47"/>
      <c r="G14" s="45">
        <v>0.18</v>
      </c>
      <c r="H14" s="45">
        <v>0.18</v>
      </c>
      <c r="I14" s="19">
        <f>VLOOKUP(G6,'2.3. равн.расх'!$A$6:$H$19,8,0)</f>
        <v>0</v>
      </c>
      <c r="J14" s="19">
        <f t="shared" si="1"/>
        <v>0</v>
      </c>
      <c r="K14" s="47"/>
      <c r="L14" s="45">
        <v>0.18</v>
      </c>
      <c r="M14" s="45">
        <v>0.18</v>
      </c>
      <c r="N14" s="19">
        <f>VLOOKUP(L6,'2.3. равн.расх'!$A$6:$H$19,8,0)</f>
        <v>4</v>
      </c>
      <c r="O14" s="19">
        <f t="shared" si="2"/>
        <v>0.72</v>
      </c>
      <c r="P14" s="47"/>
      <c r="Q14" s="45">
        <v>0.18</v>
      </c>
      <c r="R14" s="45">
        <v>0.18</v>
      </c>
      <c r="S14" s="19">
        <f>VLOOKUP(Q6,'2.3. равн.расх'!$A$6:$H$19,8,0)</f>
        <v>3</v>
      </c>
      <c r="T14" s="19">
        <f t="shared" si="3"/>
        <v>0.54</v>
      </c>
      <c r="U14" s="47"/>
      <c r="V14" s="45">
        <v>0.18</v>
      </c>
      <c r="W14" s="45">
        <v>0.18</v>
      </c>
      <c r="X14" s="19">
        <f>VLOOKUP(V6,'2.3. равн.расх'!$A$6:$H$19,8,0)</f>
        <v>3</v>
      </c>
      <c r="Y14" s="19">
        <f t="shared" si="4"/>
        <v>0.54</v>
      </c>
      <c r="Z14" s="47"/>
      <c r="AA14" s="45">
        <v>0.18</v>
      </c>
      <c r="AB14" s="45">
        <v>0.18</v>
      </c>
      <c r="AC14" s="19">
        <f>VLOOKUP(AA6,'2.3. равн.расх'!$A$6:$H$19,8,0)</f>
        <v>0</v>
      </c>
      <c r="AD14" s="19">
        <f t="shared" si="5"/>
        <v>0</v>
      </c>
      <c r="AE14" s="47"/>
      <c r="AF14" s="45">
        <v>0.18</v>
      </c>
      <c r="AG14" s="45">
        <v>0.18</v>
      </c>
      <c r="AH14" s="19">
        <f>VLOOKUP(AF6,'2.3. равн.расх'!$A$6:$H$19,8,0)</f>
        <v>5</v>
      </c>
      <c r="AI14" s="19">
        <f t="shared" si="6"/>
        <v>0.9</v>
      </c>
      <c r="AJ14" s="47"/>
      <c r="AK14" s="45">
        <v>0.18</v>
      </c>
      <c r="AL14" s="45">
        <v>0.18</v>
      </c>
      <c r="AM14" s="19">
        <f>VLOOKUP(AK6,'2.3. равн.расх'!$A$6:$H$19,8,0)</f>
        <v>2</v>
      </c>
      <c r="AN14" s="19">
        <f t="shared" si="7"/>
        <v>0.36</v>
      </c>
      <c r="AO14" s="47"/>
      <c r="AP14" s="45">
        <v>0.18</v>
      </c>
      <c r="AQ14" s="45">
        <v>0.18</v>
      </c>
      <c r="AR14" s="19">
        <f>VLOOKUP(AP6,'2.3. равн.расх'!$A$6:$H$19,8,0)</f>
        <v>2</v>
      </c>
      <c r="AS14" s="19">
        <f t="shared" si="8"/>
        <v>0.36</v>
      </c>
      <c r="AT14" s="47"/>
      <c r="AU14" s="45">
        <v>0.18</v>
      </c>
      <c r="AV14" s="45">
        <v>0.18</v>
      </c>
      <c r="AW14" s="19">
        <f>VLOOKUP(AU6,'2.3. равн.расх'!$A$6:$H$19,8,0)</f>
        <v>3</v>
      </c>
      <c r="AX14" s="19">
        <f t="shared" si="9"/>
        <v>0.54</v>
      </c>
      <c r="AY14" s="47"/>
      <c r="AZ14" s="45">
        <v>0.18</v>
      </c>
      <c r="BA14" s="45">
        <v>0.18</v>
      </c>
      <c r="BB14" s="19">
        <f>VLOOKUP(AZ6,'2.3. равн.расх'!$A$6:$H$19,8,0)</f>
        <v>0</v>
      </c>
      <c r="BC14" s="19">
        <f t="shared" si="10"/>
        <v>0</v>
      </c>
      <c r="BD14" s="47"/>
      <c r="BE14" s="45">
        <v>0.18</v>
      </c>
      <c r="BF14" s="45">
        <v>0.18</v>
      </c>
      <c r="BG14" s="19">
        <f>VLOOKUP(BE6,'2.3. равн.расх'!$A$6:$H$19,8,0)</f>
        <v>0</v>
      </c>
      <c r="BH14" s="19">
        <f t="shared" si="11"/>
        <v>0</v>
      </c>
      <c r="BI14" s="47"/>
      <c r="BJ14" s="45">
        <v>0.18</v>
      </c>
      <c r="BK14" s="45">
        <v>0.18</v>
      </c>
      <c r="BL14" s="19">
        <f>VLOOKUP(BJ6,'2.3. равн.расх'!$A$6:$H$19,8,0)</f>
        <v>5</v>
      </c>
      <c r="BM14" s="19">
        <f t="shared" si="12"/>
        <v>0.9</v>
      </c>
      <c r="BN14" s="47"/>
      <c r="BO14" s="45">
        <v>0.18</v>
      </c>
      <c r="BP14" s="45">
        <v>0.18</v>
      </c>
      <c r="BQ14" s="19">
        <f>VLOOKUP(BO6,'2.3. равн.расх'!$A$6:$H$19,8,0)</f>
        <v>5</v>
      </c>
      <c r="BR14" s="19">
        <f t="shared" si="13"/>
        <v>0.9</v>
      </c>
      <c r="BS14" s="47"/>
    </row>
    <row r="15" spans="1:71" s="24" customFormat="1" ht="30">
      <c r="A15" s="54" t="s">
        <v>141</v>
      </c>
      <c r="B15" s="45">
        <v>0.13</v>
      </c>
      <c r="C15" s="45">
        <v>0.13</v>
      </c>
      <c r="D15" s="19">
        <f>VLOOKUP(B6,'2.4. кред.зад. пост.'!$A$6:$F$19,6,0)</f>
        <v>5</v>
      </c>
      <c r="E15" s="19">
        <f t="shared" si="0"/>
        <v>0.65</v>
      </c>
      <c r="F15" s="47"/>
      <c r="G15" s="45">
        <v>0.13</v>
      </c>
      <c r="H15" s="45">
        <v>0.13</v>
      </c>
      <c r="I15" s="19">
        <f>VLOOKUP(G6,'2.4. кред.зад. пост.'!$A$6:$F$19,6,0)</f>
        <v>5</v>
      </c>
      <c r="J15" s="19">
        <f t="shared" si="1"/>
        <v>0.65</v>
      </c>
      <c r="K15" s="47"/>
      <c r="L15" s="45">
        <v>0.13</v>
      </c>
      <c r="M15" s="45">
        <v>0.13</v>
      </c>
      <c r="N15" s="19">
        <f>VLOOKUP(L6,'2.4. кред.зад. пост.'!$A$6:$F$19,6,0)</f>
        <v>5</v>
      </c>
      <c r="O15" s="19">
        <f t="shared" si="2"/>
        <v>0.65</v>
      </c>
      <c r="P15" s="47"/>
      <c r="Q15" s="45">
        <v>0.13</v>
      </c>
      <c r="R15" s="45">
        <v>0.13</v>
      </c>
      <c r="S15" s="19">
        <f>VLOOKUP(Q6,'2.4. кред.зад. пост.'!$A$6:$F$19,6,0)</f>
        <v>5</v>
      </c>
      <c r="T15" s="19">
        <f t="shared" si="3"/>
        <v>0.65</v>
      </c>
      <c r="U15" s="47"/>
      <c r="V15" s="45">
        <v>0.13</v>
      </c>
      <c r="W15" s="45">
        <v>0.13</v>
      </c>
      <c r="X15" s="19">
        <f>VLOOKUP(V6,'2.4. кред.зад. пост.'!$A$6:$F$19,6,0)</f>
        <v>5</v>
      </c>
      <c r="Y15" s="19">
        <f t="shared" si="4"/>
        <v>0.65</v>
      </c>
      <c r="Z15" s="47"/>
      <c r="AA15" s="45">
        <v>0.13</v>
      </c>
      <c r="AB15" s="45">
        <v>0.13</v>
      </c>
      <c r="AC15" s="19">
        <f>VLOOKUP(AA6,'2.4. кред.зад. пост.'!$A$6:$F$19,6,0)</f>
        <v>5</v>
      </c>
      <c r="AD15" s="19">
        <f t="shared" si="5"/>
        <v>0.65</v>
      </c>
      <c r="AE15" s="47"/>
      <c r="AF15" s="45">
        <v>0.13</v>
      </c>
      <c r="AG15" s="45">
        <v>0.13</v>
      </c>
      <c r="AH15" s="19">
        <f>VLOOKUP(AF6,'2.4. кред.зад. пост.'!$A$6:$F$19,6,0)</f>
        <v>5</v>
      </c>
      <c r="AI15" s="19">
        <f t="shared" si="6"/>
        <v>0.65</v>
      </c>
      <c r="AJ15" s="47"/>
      <c r="AK15" s="45">
        <v>0.13</v>
      </c>
      <c r="AL15" s="45">
        <v>0.13</v>
      </c>
      <c r="AM15" s="19">
        <f>VLOOKUP(AK6,'2.4. кред.зад. пост.'!$A$6:$F$19,6,0)</f>
        <v>5</v>
      </c>
      <c r="AN15" s="19">
        <f t="shared" si="7"/>
        <v>0.65</v>
      </c>
      <c r="AO15" s="47"/>
      <c r="AP15" s="45">
        <v>0.13</v>
      </c>
      <c r="AQ15" s="45">
        <v>0.13</v>
      </c>
      <c r="AR15" s="19">
        <f>VLOOKUP(AP6,'2.4. кред.зад. пост.'!$A$6:$F$19,6,0)</f>
        <v>5</v>
      </c>
      <c r="AS15" s="19">
        <f t="shared" si="8"/>
        <v>0.65</v>
      </c>
      <c r="AT15" s="47"/>
      <c r="AU15" s="45">
        <v>0.13</v>
      </c>
      <c r="AV15" s="45">
        <v>0.13</v>
      </c>
      <c r="AW15" s="19">
        <f>VLOOKUP(AU6,'2.4. кред.зад. пост.'!$A$6:$F$19,6,0)</f>
        <v>5</v>
      </c>
      <c r="AX15" s="19">
        <f t="shared" si="9"/>
        <v>0.65</v>
      </c>
      <c r="AY15" s="47"/>
      <c r="AZ15" s="45">
        <v>0.13</v>
      </c>
      <c r="BA15" s="45">
        <v>0.13</v>
      </c>
      <c r="BB15" s="19">
        <f>VLOOKUP(AZ6,'2.4. кред.зад. пост.'!$A$6:$F$19,6,0)</f>
        <v>5</v>
      </c>
      <c r="BC15" s="19">
        <f t="shared" si="10"/>
        <v>0.65</v>
      </c>
      <c r="BD15" s="47"/>
      <c r="BE15" s="45">
        <v>0.13</v>
      </c>
      <c r="BF15" s="45">
        <v>0.13</v>
      </c>
      <c r="BG15" s="19">
        <f>VLOOKUP(BE6,'2.4. кред.зад. пост.'!$A$6:$F$19,6,0)</f>
        <v>3</v>
      </c>
      <c r="BH15" s="19">
        <f t="shared" si="11"/>
        <v>0.39</v>
      </c>
      <c r="BI15" s="47"/>
      <c r="BJ15" s="45">
        <v>0.13</v>
      </c>
      <c r="BK15" s="45">
        <v>0.13</v>
      </c>
      <c r="BL15" s="19">
        <f>VLOOKUP(BJ6,'2.4. кред.зад. пост.'!$A$6:$F$19,6,0)</f>
        <v>2</v>
      </c>
      <c r="BM15" s="19">
        <f t="shared" si="12"/>
        <v>0.26</v>
      </c>
      <c r="BN15" s="47"/>
      <c r="BO15" s="45">
        <v>0.13</v>
      </c>
      <c r="BP15" s="45">
        <v>0.13</v>
      </c>
      <c r="BQ15" s="19">
        <f>VLOOKUP(BO6,'2.4. кред.зад. пост.'!$A$6:$F$19,6,0)</f>
        <v>5</v>
      </c>
      <c r="BR15" s="19">
        <f t="shared" si="13"/>
        <v>0.65</v>
      </c>
      <c r="BS15" s="47"/>
    </row>
    <row r="16" spans="1:71" s="24" customFormat="1" ht="30">
      <c r="A16" s="54" t="s">
        <v>142</v>
      </c>
      <c r="B16" s="45">
        <v>0.13</v>
      </c>
      <c r="C16" s="45">
        <v>0.13</v>
      </c>
      <c r="D16" s="19">
        <f>VLOOKUP(B6,'2.5. плат. в бюдж.'!$A$6:$F$19,6,0)</f>
        <v>5</v>
      </c>
      <c r="E16" s="19">
        <f t="shared" si="0"/>
        <v>0.65</v>
      </c>
      <c r="F16" s="47"/>
      <c r="G16" s="45">
        <v>0.13</v>
      </c>
      <c r="H16" s="45">
        <v>0.13</v>
      </c>
      <c r="I16" s="19">
        <f>VLOOKUP(G6,'2.5. плат. в бюдж.'!$A$6:$F$19,6,0)</f>
        <v>5</v>
      </c>
      <c r="J16" s="19">
        <f t="shared" si="1"/>
        <v>0.65</v>
      </c>
      <c r="K16" s="47"/>
      <c r="L16" s="45">
        <v>0.13</v>
      </c>
      <c r="M16" s="45">
        <v>0.13</v>
      </c>
      <c r="N16" s="19">
        <f>VLOOKUP(L6,'2.5. плат. в бюдж.'!$A$6:$F$19,6,0)</f>
        <v>5</v>
      </c>
      <c r="O16" s="19">
        <f t="shared" si="2"/>
        <v>0.65</v>
      </c>
      <c r="P16" s="47"/>
      <c r="Q16" s="45">
        <v>0.13</v>
      </c>
      <c r="R16" s="45">
        <v>0.13</v>
      </c>
      <c r="S16" s="19">
        <f>VLOOKUP(Q6,'2.5. плат. в бюдж.'!$A$6:$F$19,6,0)</f>
        <v>5</v>
      </c>
      <c r="T16" s="19">
        <f t="shared" si="3"/>
        <v>0.65</v>
      </c>
      <c r="U16" s="47"/>
      <c r="V16" s="45">
        <v>0.13</v>
      </c>
      <c r="W16" s="45">
        <v>0.13</v>
      </c>
      <c r="X16" s="19">
        <f>VLOOKUP(V6,'2.5. плат. в бюдж.'!$A$6:$F$19,6,0)</f>
        <v>5</v>
      </c>
      <c r="Y16" s="19">
        <f t="shared" si="4"/>
        <v>0.65</v>
      </c>
      <c r="Z16" s="47"/>
      <c r="AA16" s="45">
        <v>0.13</v>
      </c>
      <c r="AB16" s="45">
        <v>0.13</v>
      </c>
      <c r="AC16" s="19">
        <f>VLOOKUP(AA6,'2.5. плат. в бюдж.'!$A$6:$F$19,6,0)</f>
        <v>5</v>
      </c>
      <c r="AD16" s="19">
        <f t="shared" si="5"/>
        <v>0.65</v>
      </c>
      <c r="AE16" s="47"/>
      <c r="AF16" s="45">
        <v>0.13</v>
      </c>
      <c r="AG16" s="45">
        <v>0.13</v>
      </c>
      <c r="AH16" s="19">
        <f>VLOOKUP(AF6,'2.5. плат. в бюдж.'!$A$6:$F$19,6,0)</f>
        <v>5</v>
      </c>
      <c r="AI16" s="19">
        <f t="shared" si="6"/>
        <v>0.65</v>
      </c>
      <c r="AJ16" s="47"/>
      <c r="AK16" s="45">
        <v>0.13</v>
      </c>
      <c r="AL16" s="45">
        <v>0.13</v>
      </c>
      <c r="AM16" s="19">
        <f>VLOOKUP(AK6,'2.5. плат. в бюдж.'!$A$6:$F$19,6,0)</f>
        <v>5</v>
      </c>
      <c r="AN16" s="19">
        <f t="shared" si="7"/>
        <v>0.65</v>
      </c>
      <c r="AO16" s="47"/>
      <c r="AP16" s="45">
        <v>0.13</v>
      </c>
      <c r="AQ16" s="45">
        <v>0.13</v>
      </c>
      <c r="AR16" s="19">
        <f>VLOOKUP(AP6,'2.5. плат. в бюдж.'!$A$6:$F$19,6,0)</f>
        <v>5</v>
      </c>
      <c r="AS16" s="19">
        <f t="shared" si="8"/>
        <v>0.65</v>
      </c>
      <c r="AT16" s="47"/>
      <c r="AU16" s="45">
        <v>0.13</v>
      </c>
      <c r="AV16" s="45">
        <v>0.13</v>
      </c>
      <c r="AW16" s="19">
        <f>VLOOKUP(AU6,'2.5. плат. в бюдж.'!$A$6:$F$19,6,0)</f>
        <v>5</v>
      </c>
      <c r="AX16" s="19">
        <f t="shared" si="9"/>
        <v>0.65</v>
      </c>
      <c r="AY16" s="47"/>
      <c r="AZ16" s="45">
        <v>0.13</v>
      </c>
      <c r="BA16" s="45">
        <v>0.13</v>
      </c>
      <c r="BB16" s="19">
        <f>VLOOKUP(AZ6,'2.5. плат. в бюдж.'!$A$6:$F$19,6,0)</f>
        <v>5</v>
      </c>
      <c r="BC16" s="19">
        <f t="shared" si="10"/>
        <v>0.65</v>
      </c>
      <c r="BD16" s="47"/>
      <c r="BE16" s="45">
        <v>0.13</v>
      </c>
      <c r="BF16" s="45">
        <v>0.13</v>
      </c>
      <c r="BG16" s="19">
        <f>VLOOKUP(BE6,'2.5. плат. в бюдж.'!$A$6:$F$19,6,0)</f>
        <v>5</v>
      </c>
      <c r="BH16" s="19">
        <f t="shared" si="11"/>
        <v>0.65</v>
      </c>
      <c r="BI16" s="47"/>
      <c r="BJ16" s="45">
        <v>0.13</v>
      </c>
      <c r="BK16" s="45">
        <v>0.13</v>
      </c>
      <c r="BL16" s="19">
        <f>VLOOKUP(BJ6,'2.5. плат. в бюдж.'!$A$6:$F$19,6,0)</f>
        <v>5</v>
      </c>
      <c r="BM16" s="19">
        <f t="shared" si="12"/>
        <v>0.65</v>
      </c>
      <c r="BN16" s="47"/>
      <c r="BO16" s="45">
        <v>0.13</v>
      </c>
      <c r="BP16" s="45">
        <v>0.13</v>
      </c>
      <c r="BQ16" s="19">
        <f>VLOOKUP(BO6,'2.5. плат. в бюдж.'!$A$6:$F$19,6,0)</f>
        <v>5</v>
      </c>
      <c r="BR16" s="19">
        <f t="shared" si="13"/>
        <v>0.65</v>
      </c>
      <c r="BS16" s="47"/>
    </row>
    <row r="17" spans="1:71" s="24" customFormat="1" ht="60">
      <c r="A17" s="54" t="s">
        <v>143</v>
      </c>
      <c r="B17" s="45">
        <v>0.16</v>
      </c>
      <c r="C17" s="45">
        <v>0.16</v>
      </c>
      <c r="D17" s="19">
        <f>VLOOKUP(B6,'2.6. МЦП'!$A$6:$F$19,6,0)</f>
        <v>4</v>
      </c>
      <c r="E17" s="19">
        <f t="shared" si="0"/>
        <v>0.64</v>
      </c>
      <c r="F17" s="47"/>
      <c r="G17" s="45">
        <v>0.16</v>
      </c>
      <c r="H17" s="45">
        <v>0.16</v>
      </c>
      <c r="I17" s="19">
        <f>VLOOKUP(G6,'2.6. МЦП'!$A$6:$F$19,6,0)</f>
        <v>4</v>
      </c>
      <c r="J17" s="19">
        <f t="shared" si="1"/>
        <v>0.64</v>
      </c>
      <c r="K17" s="47"/>
      <c r="L17" s="45">
        <v>0.16</v>
      </c>
      <c r="M17" s="45">
        <v>0.16</v>
      </c>
      <c r="N17" s="19">
        <f>VLOOKUP(L6,'2.6. МЦП'!$A$6:$F$19,6,0)</f>
        <v>3</v>
      </c>
      <c r="O17" s="19">
        <f t="shared" si="2"/>
        <v>0.48</v>
      </c>
      <c r="P17" s="47"/>
      <c r="Q17" s="45">
        <v>0.16</v>
      </c>
      <c r="R17" s="45">
        <v>0.16</v>
      </c>
      <c r="S17" s="19">
        <f>VLOOKUP(Q6,'2.6. МЦП'!$A$6:$F$19,6,0)</f>
        <v>5</v>
      </c>
      <c r="T17" s="19">
        <f t="shared" si="3"/>
        <v>0.8</v>
      </c>
      <c r="U17" s="47"/>
      <c r="V17" s="45">
        <v>0.16</v>
      </c>
      <c r="W17" s="45">
        <v>0.16</v>
      </c>
      <c r="X17" s="19">
        <f>VLOOKUP(V6,'2.6. МЦП'!$A$6:$F$19,6,0)</f>
        <v>4</v>
      </c>
      <c r="Y17" s="19">
        <f t="shared" si="4"/>
        <v>0.64</v>
      </c>
      <c r="Z17" s="47"/>
      <c r="AA17" s="45">
        <v>0.16</v>
      </c>
      <c r="AB17" s="45">
        <v>0.16</v>
      </c>
      <c r="AC17" s="19">
        <f>VLOOKUP(AA6,'2.6. МЦП'!$A$6:$F$19,6,0)</f>
        <v>5</v>
      </c>
      <c r="AD17" s="19">
        <f t="shared" si="5"/>
        <v>0.8</v>
      </c>
      <c r="AE17" s="47"/>
      <c r="AF17" s="45">
        <v>0.16</v>
      </c>
      <c r="AG17" s="45">
        <v>0.16</v>
      </c>
      <c r="AH17" s="19">
        <f>VLOOKUP(AF6,'2.6. МЦП'!$A$6:$F$19,6,0)</f>
        <v>4</v>
      </c>
      <c r="AI17" s="19">
        <f t="shared" si="6"/>
        <v>0.64</v>
      </c>
      <c r="AJ17" s="47"/>
      <c r="AK17" s="45">
        <v>0.16</v>
      </c>
      <c r="AL17" s="45">
        <v>0.16</v>
      </c>
      <c r="AM17" s="19">
        <f>VLOOKUP(AK6,'2.6. МЦП'!$A$6:$F$19,6,0)</f>
        <v>4</v>
      </c>
      <c r="AN17" s="19">
        <f t="shared" si="7"/>
        <v>0.64</v>
      </c>
      <c r="AO17" s="47"/>
      <c r="AP17" s="45">
        <v>0.16</v>
      </c>
      <c r="AQ17" s="45">
        <v>0.16</v>
      </c>
      <c r="AR17" s="19">
        <f>VLOOKUP(AP6,'2.6. МЦП'!$A$6:$F$19,6,0)</f>
        <v>4</v>
      </c>
      <c r="AS17" s="19">
        <f t="shared" si="8"/>
        <v>0.64</v>
      </c>
      <c r="AT17" s="47"/>
      <c r="AU17" s="45">
        <v>0.16</v>
      </c>
      <c r="AV17" s="45">
        <v>0.16</v>
      </c>
      <c r="AW17" s="19">
        <f>VLOOKUP(AU6,'2.6. МЦП'!$A$6:$F$19,6,0)</f>
        <v>5</v>
      </c>
      <c r="AX17" s="19">
        <f t="shared" si="9"/>
        <v>0.8</v>
      </c>
      <c r="AY17" s="47"/>
      <c r="AZ17" s="45">
        <v>0.16</v>
      </c>
      <c r="BA17" s="45">
        <v>0.16</v>
      </c>
      <c r="BB17" s="19">
        <f>VLOOKUP(AZ6,'2.6. МЦП'!$A$6:$F$19,6,0)</f>
        <v>4</v>
      </c>
      <c r="BC17" s="19">
        <f t="shared" si="10"/>
        <v>0.64</v>
      </c>
      <c r="BD17" s="47"/>
      <c r="BE17" s="45">
        <v>0.16</v>
      </c>
      <c r="BF17" s="45">
        <v>0.16</v>
      </c>
      <c r="BG17" s="19">
        <f>VLOOKUP(BE6,'2.6. МЦП'!$A$6:$F$19,6,0)</f>
        <v>3</v>
      </c>
      <c r="BH17" s="19">
        <f t="shared" si="11"/>
        <v>0.48</v>
      </c>
      <c r="BI17" s="47"/>
      <c r="BJ17" s="45">
        <v>0.16</v>
      </c>
      <c r="BK17" s="45">
        <v>0.16</v>
      </c>
      <c r="BL17" s="19">
        <f>VLOOKUP(BJ6,'2.6. МЦП'!$A$6:$F$19,6,0)</f>
        <v>0</v>
      </c>
      <c r="BM17" s="19">
        <f t="shared" si="12"/>
        <v>0</v>
      </c>
      <c r="BN17" s="47"/>
      <c r="BO17" s="45">
        <v>0.16</v>
      </c>
      <c r="BP17" s="45">
        <v>0.16</v>
      </c>
      <c r="BQ17" s="19">
        <f>VLOOKUP(BO6,'2.6. МЦП'!$A$6:$F$19,6,0)</f>
        <v>5</v>
      </c>
      <c r="BR17" s="19">
        <f t="shared" si="13"/>
        <v>0.8</v>
      </c>
      <c r="BS17" s="47"/>
    </row>
    <row r="18" spans="1:71" s="25" customFormat="1" ht="14.25">
      <c r="A18" s="43" t="s">
        <v>29</v>
      </c>
      <c r="B18" s="36">
        <v>0.23</v>
      </c>
      <c r="C18" s="36">
        <f>ROUND(B18*100%/96%,5)</f>
        <v>0.23957999999999999</v>
      </c>
      <c r="D18" s="29"/>
      <c r="E18" s="29">
        <f>SUM(E19:E20)</f>
        <v>4.0999999999999996</v>
      </c>
      <c r="F18" s="33">
        <f>ROUND(E18*C18,2)</f>
        <v>0.98</v>
      </c>
      <c r="G18" s="36">
        <v>0.23</v>
      </c>
      <c r="H18" s="36">
        <f>ROUND(G18*100%/96%,5)</f>
        <v>0.23957999999999999</v>
      </c>
      <c r="I18" s="29"/>
      <c r="J18" s="29">
        <f>SUM(J19:J20)</f>
        <v>3.5</v>
      </c>
      <c r="K18" s="33">
        <f>ROUND(J18*H18,2)</f>
        <v>0.84</v>
      </c>
      <c r="L18" s="36">
        <v>0.23</v>
      </c>
      <c r="M18" s="36">
        <f>ROUND(L18*100%/96%,5)</f>
        <v>0.23957999999999999</v>
      </c>
      <c r="N18" s="29"/>
      <c r="O18" s="29">
        <f>SUM(O19:O20)</f>
        <v>5</v>
      </c>
      <c r="P18" s="33">
        <f>ROUND(O18*M18,2)</f>
        <v>1.2</v>
      </c>
      <c r="Q18" s="36">
        <v>0.23</v>
      </c>
      <c r="R18" s="36">
        <f>ROUND(Q18*100%/96%,5)</f>
        <v>0.23957999999999999</v>
      </c>
      <c r="S18" s="29"/>
      <c r="T18" s="29">
        <f>SUM(T19:T20)</f>
        <v>1.5</v>
      </c>
      <c r="U18" s="33">
        <f>ROUND(T18*R18,2)</f>
        <v>0.36</v>
      </c>
      <c r="V18" s="36">
        <v>0.23</v>
      </c>
      <c r="W18" s="36">
        <v>0.23</v>
      </c>
      <c r="X18" s="29"/>
      <c r="Y18" s="29">
        <f>SUM(Y19:Y20)</f>
        <v>5</v>
      </c>
      <c r="Z18" s="33">
        <f>ROUND(Y18*W18,2)</f>
        <v>1.1499999999999999</v>
      </c>
      <c r="AA18" s="36">
        <v>0.23</v>
      </c>
      <c r="AB18" s="36">
        <v>0.23</v>
      </c>
      <c r="AC18" s="29"/>
      <c r="AD18" s="29">
        <f>SUM(AD19:AD20)</f>
        <v>3.8</v>
      </c>
      <c r="AE18" s="33">
        <f>ROUND(AD18*AB18,2)</f>
        <v>0.87</v>
      </c>
      <c r="AF18" s="36">
        <v>0.23</v>
      </c>
      <c r="AG18" s="36">
        <f>ROUND(AF18*100%/96%,5)</f>
        <v>0.23957999999999999</v>
      </c>
      <c r="AH18" s="29"/>
      <c r="AI18" s="29">
        <f>SUM(AI19:AI20)</f>
        <v>5</v>
      </c>
      <c r="AJ18" s="33">
        <f>ROUND(AI18*AG18,2)</f>
        <v>1.2</v>
      </c>
      <c r="AK18" s="36">
        <v>0.23</v>
      </c>
      <c r="AL18" s="36">
        <v>0.23</v>
      </c>
      <c r="AM18" s="29"/>
      <c r="AN18" s="29">
        <f>SUM(AN19:AN20)</f>
        <v>5</v>
      </c>
      <c r="AO18" s="33">
        <f>ROUND(AN18*AL18,2)</f>
        <v>1.1499999999999999</v>
      </c>
      <c r="AP18" s="36">
        <v>0.23</v>
      </c>
      <c r="AQ18" s="36">
        <f>ROUND(AP18*100%/96%,5)</f>
        <v>0.23957999999999999</v>
      </c>
      <c r="AR18" s="29"/>
      <c r="AS18" s="29">
        <f>SUM(AS19:AS20)</f>
        <v>5</v>
      </c>
      <c r="AT18" s="33">
        <f>ROUND(AS18*AQ18,2)</f>
        <v>1.2</v>
      </c>
      <c r="AU18" s="36">
        <v>0.23</v>
      </c>
      <c r="AV18" s="36">
        <f>ROUND(AU18*100%/96%,5)</f>
        <v>0.23957999999999999</v>
      </c>
      <c r="AW18" s="29"/>
      <c r="AX18" s="29">
        <f>SUM(AX19:AX20)</f>
        <v>5</v>
      </c>
      <c r="AY18" s="33">
        <f>ROUND(AX18*AV18,2)</f>
        <v>1.2</v>
      </c>
      <c r="AZ18" s="36">
        <v>0.23</v>
      </c>
      <c r="BA18" s="36">
        <f>ROUND(AZ18*100%/96%,5)</f>
        <v>0.23957999999999999</v>
      </c>
      <c r="BB18" s="29"/>
      <c r="BC18" s="29">
        <f>SUM(BC19:BC20)</f>
        <v>2.2000000000000002</v>
      </c>
      <c r="BD18" s="33">
        <f>ROUND(BC18*BA18,2)</f>
        <v>0.53</v>
      </c>
      <c r="BE18" s="36">
        <v>0.23</v>
      </c>
      <c r="BF18" s="36">
        <v>0.2</v>
      </c>
      <c r="BG18" s="29"/>
      <c r="BH18" s="29">
        <f>SUM(BH19:BH20)</f>
        <v>3.5</v>
      </c>
      <c r="BI18" s="33">
        <f>ROUND(BH18*BF18,2)</f>
        <v>0.7</v>
      </c>
      <c r="BJ18" s="36">
        <v>0.23</v>
      </c>
      <c r="BK18" s="36">
        <f>ROUND(BJ18*100%/96%,5)</f>
        <v>0.23957999999999999</v>
      </c>
      <c r="BL18" s="29"/>
      <c r="BM18" s="29">
        <f>SUM(BM19:BM20)</f>
        <v>3.5</v>
      </c>
      <c r="BN18" s="33">
        <f>ROUND(BM18*BK18,2)</f>
        <v>0.84</v>
      </c>
      <c r="BO18" s="36">
        <v>0.23</v>
      </c>
      <c r="BP18" s="36">
        <v>0.2</v>
      </c>
      <c r="BQ18" s="29"/>
      <c r="BR18" s="29">
        <f>SUM(BR19:BR20)</f>
        <v>2.2999999999999998</v>
      </c>
      <c r="BS18" s="33">
        <f>ROUND(BR18*BP18,2)</f>
        <v>0.46</v>
      </c>
    </row>
    <row r="19" spans="1:71" s="24" customFormat="1" ht="45">
      <c r="A19" s="54" t="s">
        <v>81</v>
      </c>
      <c r="B19" s="45">
        <v>0.7</v>
      </c>
      <c r="C19" s="45">
        <v>0.7</v>
      </c>
      <c r="D19" s="19">
        <f>VLOOKUP(B6,'3.1. исп. дох.'!$A$6:$F$19,6,0)</f>
        <v>5</v>
      </c>
      <c r="E19" s="19">
        <f t="shared" si="0"/>
        <v>3.5</v>
      </c>
      <c r="F19" s="47"/>
      <c r="G19" s="45">
        <v>0.7</v>
      </c>
      <c r="H19" s="45">
        <v>0.7</v>
      </c>
      <c r="I19" s="19">
        <f>VLOOKUP(G6,'3.1. исп. дох.'!$A$6:$F$19,6,0)</f>
        <v>5</v>
      </c>
      <c r="J19" s="19">
        <f t="shared" ref="J19:J20" si="14">ROUND(I19*H19,2)</f>
        <v>3.5</v>
      </c>
      <c r="K19" s="47"/>
      <c r="L19" s="45">
        <v>0.7</v>
      </c>
      <c r="M19" s="45">
        <v>0.7</v>
      </c>
      <c r="N19" s="19">
        <f>VLOOKUP(L6,'3.1. исп. дох.'!$A$6:$F$19,6,0)</f>
        <v>5</v>
      </c>
      <c r="O19" s="19">
        <f t="shared" ref="O19:O20" si="15">ROUND(N19*M19,2)</f>
        <v>3.5</v>
      </c>
      <c r="P19" s="47"/>
      <c r="Q19" s="45">
        <v>0.7</v>
      </c>
      <c r="R19" s="45">
        <v>0.7</v>
      </c>
      <c r="S19" s="19">
        <f>VLOOKUP(Q6,'3.1. исп. дох.'!$A$6:$F$19,6,0)</f>
        <v>0</v>
      </c>
      <c r="T19" s="19">
        <f t="shared" ref="T19:T20" si="16">ROUND(S19*R19,2)</f>
        <v>0</v>
      </c>
      <c r="U19" s="47"/>
      <c r="V19" s="45">
        <v>0.7</v>
      </c>
      <c r="W19" s="45">
        <v>0.7</v>
      </c>
      <c r="X19" s="19">
        <f>VLOOKUP(V6,'3.1. исп. дох.'!$A$6:$F$19,6,0)</f>
        <v>5</v>
      </c>
      <c r="Y19" s="19">
        <f t="shared" ref="Y19:Y20" si="17">ROUND(X19*W19,2)</f>
        <v>3.5</v>
      </c>
      <c r="Z19" s="47"/>
      <c r="AA19" s="45">
        <v>0.7</v>
      </c>
      <c r="AB19" s="45">
        <v>0.7</v>
      </c>
      <c r="AC19" s="19">
        <f>VLOOKUP(AA6,'3.1. исп. дох.'!$A$6:$F$19,6,0)</f>
        <v>5</v>
      </c>
      <c r="AD19" s="19">
        <f t="shared" ref="AD19:AD20" si="18">ROUND(AC19*AB19,2)</f>
        <v>3.5</v>
      </c>
      <c r="AE19" s="47"/>
      <c r="AF19" s="45">
        <v>0.7</v>
      </c>
      <c r="AG19" s="45">
        <v>0.7</v>
      </c>
      <c r="AH19" s="19">
        <f>VLOOKUP(AF6,'3.1. исп. дох.'!$A$6:$F$19,6,0)</f>
        <v>5</v>
      </c>
      <c r="AI19" s="19">
        <f t="shared" ref="AI19:AI20" si="19">ROUND(AH19*AG19,2)</f>
        <v>3.5</v>
      </c>
      <c r="AJ19" s="47"/>
      <c r="AK19" s="45">
        <v>0.7</v>
      </c>
      <c r="AL19" s="45">
        <v>0</v>
      </c>
      <c r="AM19" s="56"/>
      <c r="AN19" s="56"/>
      <c r="AO19" s="64"/>
      <c r="AP19" s="45">
        <v>0.7</v>
      </c>
      <c r="AQ19" s="45">
        <v>0.7</v>
      </c>
      <c r="AR19" s="19">
        <f>VLOOKUP(AP6,'3.1. исп. дох.'!$A$6:$F$19,6,0)</f>
        <v>5</v>
      </c>
      <c r="AS19" s="19">
        <f t="shared" ref="AS19:AS20" si="20">ROUND(AR19*AQ19,2)</f>
        <v>3.5</v>
      </c>
      <c r="AT19" s="47"/>
      <c r="AU19" s="45">
        <v>0.7</v>
      </c>
      <c r="AV19" s="45">
        <v>0.7</v>
      </c>
      <c r="AW19" s="19">
        <f>VLOOKUP(AU6,'3.1. исп. дох.'!$A$6:$F$19,6,0)</f>
        <v>5</v>
      </c>
      <c r="AX19" s="19">
        <f t="shared" ref="AX19:AX20" si="21">ROUND(AW19*AV19,2)</f>
        <v>3.5</v>
      </c>
      <c r="AY19" s="47"/>
      <c r="AZ19" s="45">
        <v>0.7</v>
      </c>
      <c r="BA19" s="45">
        <v>0.7</v>
      </c>
      <c r="BB19" s="19">
        <f>VLOOKUP(AZ6,'3.1. исп. дох.'!$A$6:$F$19,6,0)</f>
        <v>1</v>
      </c>
      <c r="BC19" s="19">
        <f t="shared" ref="BC19:BC20" si="22">ROUND(BB19*BA19,2)</f>
        <v>0.7</v>
      </c>
      <c r="BD19" s="47"/>
      <c r="BE19" s="45">
        <v>0.7</v>
      </c>
      <c r="BF19" s="45">
        <v>0.7</v>
      </c>
      <c r="BG19" s="19">
        <f>VLOOKUP(BE6,'3.1. исп. дох.'!$A$6:$F$19,6,0)</f>
        <v>5</v>
      </c>
      <c r="BH19" s="19">
        <f t="shared" ref="BH19:BH20" si="23">ROUND(BG19*BF19,2)</f>
        <v>3.5</v>
      </c>
      <c r="BI19" s="47"/>
      <c r="BJ19" s="45">
        <v>0.7</v>
      </c>
      <c r="BK19" s="45">
        <v>0.7</v>
      </c>
      <c r="BL19" s="19">
        <f>VLOOKUP(BJ6,'3.1. исп. дох.'!$A$6:$F$19,6,0)</f>
        <v>5</v>
      </c>
      <c r="BM19" s="19">
        <f t="shared" ref="BM19:BM20" si="24">ROUND(BL19*BK19,2)</f>
        <v>3.5</v>
      </c>
      <c r="BN19" s="47"/>
      <c r="BO19" s="45">
        <v>0.7</v>
      </c>
      <c r="BP19" s="45">
        <v>0.7</v>
      </c>
      <c r="BQ19" s="19">
        <f>VLOOKUP(BO6,'3.1. исп. дох.'!$A$6:$F$19,6,0)</f>
        <v>2</v>
      </c>
      <c r="BR19" s="19">
        <f t="shared" ref="BR19:BR20" si="25">ROUND(BQ19*BP19,2)</f>
        <v>1.4</v>
      </c>
      <c r="BS19" s="47"/>
    </row>
    <row r="20" spans="1:71" s="24" customFormat="1" ht="30">
      <c r="A20" s="54" t="s">
        <v>82</v>
      </c>
      <c r="B20" s="45">
        <v>0.3</v>
      </c>
      <c r="C20" s="45">
        <v>0.3</v>
      </c>
      <c r="D20" s="19">
        <f>VLOOKUP(B6,'3.2. деб. зад.'!$A$6:$F$19,6,0)</f>
        <v>2</v>
      </c>
      <c r="E20" s="19">
        <f t="shared" si="0"/>
        <v>0.6</v>
      </c>
      <c r="F20" s="47"/>
      <c r="G20" s="45">
        <v>0.3</v>
      </c>
      <c r="H20" s="45">
        <v>0.3</v>
      </c>
      <c r="I20" s="19">
        <f>VLOOKUP(G6,'3.2. деб. зад.'!$A$6:$F$19,6,0)</f>
        <v>0</v>
      </c>
      <c r="J20" s="19">
        <f t="shared" si="14"/>
        <v>0</v>
      </c>
      <c r="K20" s="47"/>
      <c r="L20" s="45">
        <v>0.3</v>
      </c>
      <c r="M20" s="45">
        <v>0.3</v>
      </c>
      <c r="N20" s="19">
        <f>VLOOKUP(L6,'3.2. деб. зад.'!$A$6:$F$19,6,0)</f>
        <v>5</v>
      </c>
      <c r="O20" s="19">
        <f t="shared" si="15"/>
        <v>1.5</v>
      </c>
      <c r="P20" s="47"/>
      <c r="Q20" s="45">
        <v>0.3</v>
      </c>
      <c r="R20" s="45">
        <v>0.3</v>
      </c>
      <c r="S20" s="19">
        <f>VLOOKUP(Q6,'3.2. деб. зад.'!$A$6:$F$19,6,0)</f>
        <v>5</v>
      </c>
      <c r="T20" s="19">
        <f t="shared" si="16"/>
        <v>1.5</v>
      </c>
      <c r="U20" s="47"/>
      <c r="V20" s="45">
        <v>0.3</v>
      </c>
      <c r="W20" s="45">
        <v>0.3</v>
      </c>
      <c r="X20" s="19">
        <f>VLOOKUP(V6,'3.2. деб. зад.'!$A$6:$F$19,6,0)</f>
        <v>5</v>
      </c>
      <c r="Y20" s="19">
        <f t="shared" si="17"/>
        <v>1.5</v>
      </c>
      <c r="Z20" s="47"/>
      <c r="AA20" s="45">
        <v>0.3</v>
      </c>
      <c r="AB20" s="45">
        <v>0.3</v>
      </c>
      <c r="AC20" s="19">
        <f>VLOOKUP(AA6,'3.2. деб. зад.'!$A$6:$F$19,6,0)</f>
        <v>1</v>
      </c>
      <c r="AD20" s="19">
        <f t="shared" si="18"/>
        <v>0.3</v>
      </c>
      <c r="AE20" s="47"/>
      <c r="AF20" s="45">
        <v>0.3</v>
      </c>
      <c r="AG20" s="45">
        <v>0.3</v>
      </c>
      <c r="AH20" s="19">
        <f>VLOOKUP(AF6,'3.2. деб. зад.'!$A$6:$F$19,6,0)</f>
        <v>5</v>
      </c>
      <c r="AI20" s="19">
        <f t="shared" si="19"/>
        <v>1.5</v>
      </c>
      <c r="AJ20" s="47"/>
      <c r="AK20" s="45">
        <v>0.3</v>
      </c>
      <c r="AL20" s="45">
        <v>1</v>
      </c>
      <c r="AM20" s="19">
        <f>VLOOKUP(AK6,'3.2. деб. зад.'!$A$6:$F$19,6,0)</f>
        <v>5</v>
      </c>
      <c r="AN20" s="19">
        <f t="shared" ref="AN20" si="26">ROUND(AM20*AL20,2)</f>
        <v>5</v>
      </c>
      <c r="AO20" s="47"/>
      <c r="AP20" s="45">
        <v>0.3</v>
      </c>
      <c r="AQ20" s="45">
        <v>0.3</v>
      </c>
      <c r="AR20" s="19">
        <f>VLOOKUP(AP6,'3.2. деб. зад.'!$A$6:$F$19,6,0)</f>
        <v>5</v>
      </c>
      <c r="AS20" s="19">
        <f t="shared" si="20"/>
        <v>1.5</v>
      </c>
      <c r="AT20" s="47"/>
      <c r="AU20" s="45">
        <v>0.3</v>
      </c>
      <c r="AV20" s="45">
        <v>0.3</v>
      </c>
      <c r="AW20" s="19">
        <f>VLOOKUP(AU6,'3.2. деб. зад.'!$A$6:$F$19,6,0)</f>
        <v>5</v>
      </c>
      <c r="AX20" s="19">
        <f t="shared" si="21"/>
        <v>1.5</v>
      </c>
      <c r="AY20" s="47"/>
      <c r="AZ20" s="45">
        <v>0.3</v>
      </c>
      <c r="BA20" s="45">
        <v>0.3</v>
      </c>
      <c r="BB20" s="19">
        <f>VLOOKUP(AZ6,'3.2. деб. зад.'!$A$6:$F$19,6,0)</f>
        <v>5</v>
      </c>
      <c r="BC20" s="19">
        <f t="shared" si="22"/>
        <v>1.5</v>
      </c>
      <c r="BD20" s="47"/>
      <c r="BE20" s="45">
        <v>0.3</v>
      </c>
      <c r="BF20" s="45">
        <v>0.3</v>
      </c>
      <c r="BG20" s="19">
        <f>VLOOKUP(BE6,'3.2. деб. зад.'!$A$6:$F$19,6,0)</f>
        <v>0</v>
      </c>
      <c r="BH20" s="19">
        <f t="shared" si="23"/>
        <v>0</v>
      </c>
      <c r="BI20" s="47"/>
      <c r="BJ20" s="45">
        <v>0.3</v>
      </c>
      <c r="BK20" s="45">
        <v>0.3</v>
      </c>
      <c r="BL20" s="19">
        <f>VLOOKUP(BJ6,'3.2. деб. зад.'!$A$6:$F$19,6,0)</f>
        <v>0</v>
      </c>
      <c r="BM20" s="19">
        <f t="shared" si="24"/>
        <v>0</v>
      </c>
      <c r="BN20" s="47"/>
      <c r="BO20" s="45">
        <v>0.3</v>
      </c>
      <c r="BP20" s="45">
        <v>0.3</v>
      </c>
      <c r="BQ20" s="19">
        <f>VLOOKUP(BO6,'3.2. деб. зад.'!$A$6:$F$19,6,0)</f>
        <v>3</v>
      </c>
      <c r="BR20" s="19">
        <f t="shared" si="25"/>
        <v>0.9</v>
      </c>
      <c r="BS20" s="47"/>
    </row>
    <row r="21" spans="1:71" s="25" customFormat="1" ht="14.25">
      <c r="A21" s="43" t="s">
        <v>41</v>
      </c>
      <c r="B21" s="36">
        <v>0.04</v>
      </c>
      <c r="C21" s="36">
        <f>ROUND(B21*100%/96%,5)</f>
        <v>4.1669999999999999E-2</v>
      </c>
      <c r="D21" s="29"/>
      <c r="E21" s="29">
        <f>SUM(E22:E22)</f>
        <v>5</v>
      </c>
      <c r="F21" s="33">
        <f>ROUND(E21*C21,2)</f>
        <v>0.21</v>
      </c>
      <c r="G21" s="36">
        <v>0.04</v>
      </c>
      <c r="H21" s="36">
        <f>ROUND(G21*100%/96%,5)</f>
        <v>4.1669999999999999E-2</v>
      </c>
      <c r="I21" s="29"/>
      <c r="J21" s="29">
        <f>SUM(J22:J22)</f>
        <v>0</v>
      </c>
      <c r="K21" s="33">
        <f>ROUND(J21*H21,2)</f>
        <v>0</v>
      </c>
      <c r="L21" s="36">
        <v>0.04</v>
      </c>
      <c r="M21" s="36">
        <f>ROUND(L21*100%/96%,5)</f>
        <v>4.1669999999999999E-2</v>
      </c>
      <c r="N21" s="29"/>
      <c r="O21" s="29">
        <f>SUM(O22:O22)</f>
        <v>5</v>
      </c>
      <c r="P21" s="33">
        <f>ROUND(O21*M21,2)</f>
        <v>0.21</v>
      </c>
      <c r="Q21" s="36">
        <v>0.04</v>
      </c>
      <c r="R21" s="36">
        <f>ROUND(Q21*100%/96%,5)</f>
        <v>4.1669999999999999E-2</v>
      </c>
      <c r="S21" s="29"/>
      <c r="T21" s="29">
        <f>SUM(T22:T22)</f>
        <v>5</v>
      </c>
      <c r="U21" s="33">
        <f>ROUND(T21*R21,2)</f>
        <v>0.21</v>
      </c>
      <c r="V21" s="36">
        <v>0.04</v>
      </c>
      <c r="W21" s="36">
        <v>0.04</v>
      </c>
      <c r="X21" s="29"/>
      <c r="Y21" s="29">
        <f>SUM(Y22:Y22)</f>
        <v>5</v>
      </c>
      <c r="Z21" s="33">
        <f>ROUND(Y21*W21,2)</f>
        <v>0.2</v>
      </c>
      <c r="AA21" s="36">
        <v>0.04</v>
      </c>
      <c r="AB21" s="36">
        <v>0.04</v>
      </c>
      <c r="AC21" s="29"/>
      <c r="AD21" s="29">
        <f>SUM(AD22:AD22)</f>
        <v>5</v>
      </c>
      <c r="AE21" s="33">
        <f>ROUND(AD21*AB21,2)</f>
        <v>0.2</v>
      </c>
      <c r="AF21" s="36">
        <v>0.04</v>
      </c>
      <c r="AG21" s="36">
        <f>ROUND(AF21*100%/96%,5)</f>
        <v>4.1669999999999999E-2</v>
      </c>
      <c r="AH21" s="29"/>
      <c r="AI21" s="29">
        <f>SUM(AI22:AI22)</f>
        <v>5</v>
      </c>
      <c r="AJ21" s="33">
        <f>ROUND(AI21*AG21,2)</f>
        <v>0.21</v>
      </c>
      <c r="AK21" s="36">
        <v>0.04</v>
      </c>
      <c r="AL21" s="36">
        <v>0.04</v>
      </c>
      <c r="AM21" s="29"/>
      <c r="AN21" s="29">
        <f>SUM(AN22:AN22)</f>
        <v>5</v>
      </c>
      <c r="AO21" s="33">
        <f>ROUND(AN21*AL21,2)</f>
        <v>0.2</v>
      </c>
      <c r="AP21" s="36">
        <v>0.04</v>
      </c>
      <c r="AQ21" s="36">
        <f>ROUND(AP21*100%/96%,5)</f>
        <v>4.1669999999999999E-2</v>
      </c>
      <c r="AR21" s="29"/>
      <c r="AS21" s="29">
        <f>SUM(AS22:AS22)</f>
        <v>5</v>
      </c>
      <c r="AT21" s="33">
        <f>ROUND(AS21*AQ21,2)</f>
        <v>0.21</v>
      </c>
      <c r="AU21" s="36">
        <v>0.04</v>
      </c>
      <c r="AV21" s="36">
        <f>ROUND(AU21*100%/96%,5)</f>
        <v>4.1669999999999999E-2</v>
      </c>
      <c r="AW21" s="29"/>
      <c r="AX21" s="29">
        <f>SUM(AX22:AX22)</f>
        <v>0</v>
      </c>
      <c r="AY21" s="33">
        <f>ROUND(AX21*AV21,2)</f>
        <v>0</v>
      </c>
      <c r="AZ21" s="36">
        <v>0.04</v>
      </c>
      <c r="BA21" s="36">
        <f>ROUND(AZ21*100%/96%,5)</f>
        <v>4.1669999999999999E-2</v>
      </c>
      <c r="BB21" s="29"/>
      <c r="BC21" s="29">
        <f>SUM(BC22:BC22)</f>
        <v>0</v>
      </c>
      <c r="BD21" s="33">
        <f>ROUND(BC21*BA21,2)</f>
        <v>0</v>
      </c>
      <c r="BE21" s="36">
        <v>0.04</v>
      </c>
      <c r="BF21" s="36">
        <v>0.04</v>
      </c>
      <c r="BG21" s="29"/>
      <c r="BH21" s="29">
        <f>SUM(BH22:BH22)</f>
        <v>2</v>
      </c>
      <c r="BI21" s="33">
        <f>ROUND(BH21*BF21,2)</f>
        <v>0.08</v>
      </c>
      <c r="BJ21" s="36">
        <v>0.04</v>
      </c>
      <c r="BK21" s="36">
        <f>ROUND(BJ21*100%/96%,5)</f>
        <v>4.1669999999999999E-2</v>
      </c>
      <c r="BL21" s="29"/>
      <c r="BM21" s="29">
        <f>SUM(BM22:BM22)</f>
        <v>5</v>
      </c>
      <c r="BN21" s="33">
        <f>ROUND(BM21*BK21,2)</f>
        <v>0.21</v>
      </c>
      <c r="BO21" s="36">
        <v>0.04</v>
      </c>
      <c r="BP21" s="36">
        <v>0.04</v>
      </c>
      <c r="BQ21" s="29"/>
      <c r="BR21" s="29">
        <f>SUM(BR22:BR22)</f>
        <v>5</v>
      </c>
      <c r="BS21" s="33">
        <f>ROUND(BR21*BP21,2)</f>
        <v>0.2</v>
      </c>
    </row>
    <row r="22" spans="1:71" s="24" customFormat="1" ht="30">
      <c r="A22" s="54" t="s">
        <v>144</v>
      </c>
      <c r="B22" s="45">
        <v>1</v>
      </c>
      <c r="C22" s="45">
        <v>1</v>
      </c>
      <c r="D22" s="19">
        <f>VLOOKUP(B6,'4.1. иски о возм. ущ.'!$A$6:$F$19,6,0)</f>
        <v>5</v>
      </c>
      <c r="E22" s="19">
        <f t="shared" si="0"/>
        <v>5</v>
      </c>
      <c r="F22" s="47"/>
      <c r="G22" s="45">
        <v>1</v>
      </c>
      <c r="H22" s="45">
        <v>1</v>
      </c>
      <c r="I22" s="19">
        <f>VLOOKUP(G6,'4.1. иски о возм. ущ.'!$A$6:$F$19,6,0)</f>
        <v>0</v>
      </c>
      <c r="J22" s="19">
        <f t="shared" ref="J22" si="27">ROUND(I22*H22,2)</f>
        <v>0</v>
      </c>
      <c r="K22" s="47"/>
      <c r="L22" s="45">
        <v>1</v>
      </c>
      <c r="M22" s="45">
        <v>1</v>
      </c>
      <c r="N22" s="19">
        <f>VLOOKUP(L6,'4.1. иски о возм. ущ.'!$A$6:$F$19,6,0)</f>
        <v>5</v>
      </c>
      <c r="O22" s="19">
        <f t="shared" ref="O22" si="28">ROUND(N22*M22,2)</f>
        <v>5</v>
      </c>
      <c r="P22" s="47"/>
      <c r="Q22" s="45">
        <v>1</v>
      </c>
      <c r="R22" s="45">
        <v>1</v>
      </c>
      <c r="S22" s="19">
        <f>VLOOKUP(Q6,'4.1. иски о возм. ущ.'!$A$6:$F$19,6,0)</f>
        <v>5</v>
      </c>
      <c r="T22" s="19">
        <f t="shared" ref="T22" si="29">ROUND(S22*R22,2)</f>
        <v>5</v>
      </c>
      <c r="U22" s="47"/>
      <c r="V22" s="45">
        <v>1</v>
      </c>
      <c r="W22" s="45">
        <v>1</v>
      </c>
      <c r="X22" s="19">
        <f>VLOOKUP(V6,'4.1. иски о возм. ущ.'!$A$6:$F$19,6,0)</f>
        <v>5</v>
      </c>
      <c r="Y22" s="19">
        <f t="shared" ref="Y22" si="30">ROUND(X22*W22,2)</f>
        <v>5</v>
      </c>
      <c r="Z22" s="47"/>
      <c r="AA22" s="45">
        <v>1</v>
      </c>
      <c r="AB22" s="45">
        <v>1</v>
      </c>
      <c r="AC22" s="19">
        <f>VLOOKUP(AA6,'4.1. иски о возм. ущ.'!$A$6:$F$19,6,0)</f>
        <v>5</v>
      </c>
      <c r="AD22" s="19">
        <f t="shared" ref="AD22" si="31">ROUND(AC22*AB22,2)</f>
        <v>5</v>
      </c>
      <c r="AE22" s="47"/>
      <c r="AF22" s="45">
        <v>1</v>
      </c>
      <c r="AG22" s="45">
        <v>1</v>
      </c>
      <c r="AH22" s="19">
        <f>VLOOKUP(AF6,'4.1. иски о возм. ущ.'!$A$6:$F$19,6,0)</f>
        <v>5</v>
      </c>
      <c r="AI22" s="19">
        <f t="shared" ref="AI22" si="32">ROUND(AH22*AG22,2)</f>
        <v>5</v>
      </c>
      <c r="AJ22" s="47"/>
      <c r="AK22" s="45">
        <v>1</v>
      </c>
      <c r="AL22" s="45">
        <v>1</v>
      </c>
      <c r="AM22" s="19">
        <f>VLOOKUP(AK6,'4.1. иски о возм. ущ.'!$A$6:$F$19,6,0)</f>
        <v>5</v>
      </c>
      <c r="AN22" s="19">
        <f t="shared" ref="AN22" si="33">ROUND(AM22*AL22,2)</f>
        <v>5</v>
      </c>
      <c r="AO22" s="47"/>
      <c r="AP22" s="45">
        <v>1</v>
      </c>
      <c r="AQ22" s="45">
        <v>1</v>
      </c>
      <c r="AR22" s="19">
        <f>VLOOKUP(AP6,'4.1. иски о возм. ущ.'!$A$6:$F$19,6,0)</f>
        <v>5</v>
      </c>
      <c r="AS22" s="19">
        <f t="shared" ref="AS22" si="34">ROUND(AR22*AQ22,2)</f>
        <v>5</v>
      </c>
      <c r="AT22" s="47"/>
      <c r="AU22" s="45">
        <v>1</v>
      </c>
      <c r="AV22" s="45">
        <v>1</v>
      </c>
      <c r="AW22" s="19">
        <f>VLOOKUP(AU6,'4.1. иски о возм. ущ.'!$A$6:$F$19,6,0)</f>
        <v>0</v>
      </c>
      <c r="AX22" s="19">
        <f t="shared" ref="AX22" si="35">ROUND(AW22*AV22,2)</f>
        <v>0</v>
      </c>
      <c r="AY22" s="47"/>
      <c r="AZ22" s="45">
        <v>1</v>
      </c>
      <c r="BA22" s="45">
        <v>1</v>
      </c>
      <c r="BB22" s="19">
        <f>VLOOKUP(AZ6,'4.1. иски о возм. ущ.'!$A$6:$F$19,6,0)</f>
        <v>0</v>
      </c>
      <c r="BC22" s="19">
        <f t="shared" ref="BC22" si="36">ROUND(BB22*BA22,2)</f>
        <v>0</v>
      </c>
      <c r="BD22" s="47"/>
      <c r="BE22" s="45">
        <v>1</v>
      </c>
      <c r="BF22" s="45">
        <v>1</v>
      </c>
      <c r="BG22" s="19">
        <f>VLOOKUP(BE6,'4.1. иски о возм. ущ.'!$A$6:$F$19,6,0)</f>
        <v>2</v>
      </c>
      <c r="BH22" s="19">
        <f t="shared" ref="BH22" si="37">ROUND(BG22*BF22,2)</f>
        <v>2</v>
      </c>
      <c r="BI22" s="47"/>
      <c r="BJ22" s="45">
        <v>1</v>
      </c>
      <c r="BK22" s="45">
        <v>1</v>
      </c>
      <c r="BL22" s="19">
        <f>VLOOKUP(BJ6,'4.1. иски о возм. ущ.'!$A$6:$F$19,6,0)</f>
        <v>5</v>
      </c>
      <c r="BM22" s="19">
        <f t="shared" ref="BM22" si="38">ROUND(BL22*BK22,2)</f>
        <v>5</v>
      </c>
      <c r="BN22" s="47"/>
      <c r="BO22" s="45">
        <v>1</v>
      </c>
      <c r="BP22" s="45">
        <v>1</v>
      </c>
      <c r="BQ22" s="19">
        <f>VLOOKUP(BO6,'4.1. иски о возм. ущ.'!$A$6:$F$19,6,0)</f>
        <v>5</v>
      </c>
      <c r="BR22" s="19">
        <f t="shared" ref="BR22" si="39">ROUND(BQ22*BP22,2)</f>
        <v>5</v>
      </c>
      <c r="BS22" s="47"/>
    </row>
    <row r="23" spans="1:71" s="25" customFormat="1" ht="14.45" customHeight="1">
      <c r="A23" s="43" t="s">
        <v>42</v>
      </c>
      <c r="B23" s="36">
        <v>0.13</v>
      </c>
      <c r="C23" s="36">
        <f>ROUND(B23*100%/96%,5)</f>
        <v>0.13542000000000001</v>
      </c>
      <c r="D23" s="29"/>
      <c r="E23" s="29">
        <f>SUM(E24:E26)</f>
        <v>5</v>
      </c>
      <c r="F23" s="33">
        <f>ROUND(E23*C23,2)</f>
        <v>0.68</v>
      </c>
      <c r="G23" s="36">
        <v>0.13</v>
      </c>
      <c r="H23" s="36">
        <f>ROUND(G23*100%/96%,5)</f>
        <v>0.13542000000000001</v>
      </c>
      <c r="I23" s="29"/>
      <c r="J23" s="29">
        <f>SUM(J24:J26)</f>
        <v>5</v>
      </c>
      <c r="K23" s="33">
        <f>ROUND(J23*H23,2)</f>
        <v>0.68</v>
      </c>
      <c r="L23" s="36">
        <v>0.13</v>
      </c>
      <c r="M23" s="36">
        <f>ROUND(L23*100%/96%,5)</f>
        <v>0.13542000000000001</v>
      </c>
      <c r="N23" s="29"/>
      <c r="O23" s="29">
        <f>SUM(O24:O26)</f>
        <v>5</v>
      </c>
      <c r="P23" s="33">
        <f>ROUND(O23*M23,2)</f>
        <v>0.68</v>
      </c>
      <c r="Q23" s="36">
        <v>0.13</v>
      </c>
      <c r="R23" s="36">
        <f>ROUND(Q23*100%/96%,5)</f>
        <v>0.13542000000000001</v>
      </c>
      <c r="S23" s="29"/>
      <c r="T23" s="29">
        <f>SUM(T24:T26)</f>
        <v>5</v>
      </c>
      <c r="U23" s="33">
        <f>ROUND(T23*R23,2)</f>
        <v>0.68</v>
      </c>
      <c r="V23" s="36">
        <v>0.13</v>
      </c>
      <c r="W23" s="36">
        <v>0.13</v>
      </c>
      <c r="X23" s="29"/>
      <c r="Y23" s="29">
        <f>SUM(Y24:Y26)</f>
        <v>5</v>
      </c>
      <c r="Z23" s="33">
        <f>ROUND(Y23*W23,2)</f>
        <v>0.65</v>
      </c>
      <c r="AA23" s="36">
        <v>0.13</v>
      </c>
      <c r="AB23" s="36">
        <v>0.13</v>
      </c>
      <c r="AC23" s="29"/>
      <c r="AD23" s="29">
        <f>SUM(AD24:AD26)</f>
        <v>5</v>
      </c>
      <c r="AE23" s="33">
        <f>ROUND(AD23*AB23,2)</f>
        <v>0.65</v>
      </c>
      <c r="AF23" s="36">
        <v>0.13</v>
      </c>
      <c r="AG23" s="36">
        <f>ROUND(AF23*100%/96%,5)</f>
        <v>0.13542000000000001</v>
      </c>
      <c r="AH23" s="29"/>
      <c r="AI23" s="29">
        <f>SUM(AI24:AI26)</f>
        <v>5</v>
      </c>
      <c r="AJ23" s="33">
        <f>ROUND(AI23*AG23,2)</f>
        <v>0.68</v>
      </c>
      <c r="AK23" s="36">
        <v>0.13</v>
      </c>
      <c r="AL23" s="36">
        <v>0.13</v>
      </c>
      <c r="AM23" s="29"/>
      <c r="AN23" s="29">
        <f>SUM(AN24:AN26)</f>
        <v>5</v>
      </c>
      <c r="AO23" s="33">
        <f>ROUND(AN23*AL23,2)</f>
        <v>0.65</v>
      </c>
      <c r="AP23" s="36">
        <v>0.13</v>
      </c>
      <c r="AQ23" s="36">
        <f>ROUND(AP23*100%/96%,5)</f>
        <v>0.13542000000000001</v>
      </c>
      <c r="AR23" s="29"/>
      <c r="AS23" s="29">
        <f>SUM(AS24:AS26)</f>
        <v>5</v>
      </c>
      <c r="AT23" s="33">
        <f>ROUND(AS23*AQ23,2)</f>
        <v>0.68</v>
      </c>
      <c r="AU23" s="36">
        <v>0.13</v>
      </c>
      <c r="AV23" s="36">
        <f>ROUND(AU23*100%/96%,5)</f>
        <v>0.13542000000000001</v>
      </c>
      <c r="AW23" s="29"/>
      <c r="AX23" s="29">
        <f>SUM(AX24:AX26)</f>
        <v>5</v>
      </c>
      <c r="AY23" s="33">
        <f>ROUND(AX23*AV23,2)</f>
        <v>0.68</v>
      </c>
      <c r="AZ23" s="36">
        <v>0.13</v>
      </c>
      <c r="BA23" s="36">
        <f>ROUND(AZ23*100%/96%,5)</f>
        <v>0.13542000000000001</v>
      </c>
      <c r="BB23" s="29"/>
      <c r="BC23" s="29">
        <f>SUM(BC24:BC26)</f>
        <v>5</v>
      </c>
      <c r="BD23" s="33">
        <f>ROUND(BC23*BA23,2)</f>
        <v>0.68</v>
      </c>
      <c r="BE23" s="36">
        <v>0.13</v>
      </c>
      <c r="BF23" s="36">
        <v>0.12</v>
      </c>
      <c r="BG23" s="29"/>
      <c r="BH23" s="29">
        <f>SUM(BH24:BH26)</f>
        <v>5</v>
      </c>
      <c r="BI23" s="33">
        <f>ROUND(BH23*BF23,2)</f>
        <v>0.6</v>
      </c>
      <c r="BJ23" s="36">
        <v>0.13</v>
      </c>
      <c r="BK23" s="36">
        <f>ROUND(BJ23*100%/96%,5)</f>
        <v>0.13542000000000001</v>
      </c>
      <c r="BL23" s="29"/>
      <c r="BM23" s="29">
        <f>SUM(BM24:BM26)</f>
        <v>5</v>
      </c>
      <c r="BN23" s="33">
        <f>ROUND(BM23*BK23,2)</f>
        <v>0.68</v>
      </c>
      <c r="BO23" s="36">
        <v>0.13</v>
      </c>
      <c r="BP23" s="36">
        <v>0.12</v>
      </c>
      <c r="BQ23" s="29"/>
      <c r="BR23" s="29">
        <f>SUM(BR24:BR26)</f>
        <v>5</v>
      </c>
      <c r="BS23" s="33">
        <f>ROUND(BR23*BP23,2)</f>
        <v>0.6</v>
      </c>
    </row>
    <row r="24" spans="1:71" ht="45">
      <c r="A24" s="42" t="s">
        <v>83</v>
      </c>
      <c r="B24" s="34">
        <v>0.4</v>
      </c>
      <c r="C24" s="34">
        <v>0.4</v>
      </c>
      <c r="D24" s="6">
        <f>VLOOKUP(B6,'5.1. свед. о мерах'!$A$6:$E$19,5,0)</f>
        <v>5</v>
      </c>
      <c r="E24" s="6">
        <f t="shared" si="0"/>
        <v>2</v>
      </c>
      <c r="F24" s="35"/>
      <c r="G24" s="34">
        <v>0.4</v>
      </c>
      <c r="H24" s="34">
        <v>0.4</v>
      </c>
      <c r="I24" s="6">
        <f>VLOOKUP(G6,'5.1. свед. о мерах'!$A$6:$E$19,5,0)</f>
        <v>5</v>
      </c>
      <c r="J24" s="6">
        <f t="shared" ref="J24:J26" si="40">ROUND(I24*H24,2)</f>
        <v>2</v>
      </c>
      <c r="K24" s="35"/>
      <c r="L24" s="34">
        <v>0.4</v>
      </c>
      <c r="M24" s="34">
        <v>0.4</v>
      </c>
      <c r="N24" s="6">
        <f>VLOOKUP(L6,'5.1. свед. о мерах'!$A$6:$E$19,5,0)</f>
        <v>5</v>
      </c>
      <c r="O24" s="6">
        <f t="shared" ref="O24:O26" si="41">ROUND(N24*M24,2)</f>
        <v>2</v>
      </c>
      <c r="P24" s="35"/>
      <c r="Q24" s="34">
        <v>0.4</v>
      </c>
      <c r="R24" s="34">
        <v>0.4</v>
      </c>
      <c r="S24" s="6">
        <f>VLOOKUP(Q6,'5.1. свед. о мерах'!$A$6:$E$19,5,0)</f>
        <v>5</v>
      </c>
      <c r="T24" s="6">
        <f t="shared" ref="T24:T26" si="42">ROUND(S24*R24,2)</f>
        <v>2</v>
      </c>
      <c r="U24" s="35"/>
      <c r="V24" s="34">
        <v>0.4</v>
      </c>
      <c r="W24" s="34">
        <v>0.4</v>
      </c>
      <c r="X24" s="6">
        <f>VLOOKUP(V6,'5.1. свед. о мерах'!$A$6:$E$19,5,0)</f>
        <v>5</v>
      </c>
      <c r="Y24" s="6">
        <f t="shared" ref="Y24:Y26" si="43">ROUND(X24*W24,2)</f>
        <v>2</v>
      </c>
      <c r="Z24" s="35"/>
      <c r="AA24" s="34">
        <v>0.4</v>
      </c>
      <c r="AB24" s="34">
        <v>0.4</v>
      </c>
      <c r="AC24" s="6">
        <f>VLOOKUP(AA6,'5.1. свед. о мерах'!$A$6:$E$19,5,0)</f>
        <v>5</v>
      </c>
      <c r="AD24" s="6">
        <f t="shared" ref="AD24:AD26" si="44">ROUND(AC24*AB24,2)</f>
        <v>2</v>
      </c>
      <c r="AE24" s="35"/>
      <c r="AF24" s="34">
        <v>0.4</v>
      </c>
      <c r="AG24" s="34">
        <v>0.4</v>
      </c>
      <c r="AH24" s="6">
        <f>VLOOKUP(AF6,'5.1. свед. о мерах'!$A$6:$E$19,5,0)</f>
        <v>5</v>
      </c>
      <c r="AI24" s="6">
        <f t="shared" ref="AI24:AI26" si="45">ROUND(AH24*AG24,2)</f>
        <v>2</v>
      </c>
      <c r="AJ24" s="35"/>
      <c r="AK24" s="34">
        <v>0.4</v>
      </c>
      <c r="AL24" s="34">
        <v>0.4</v>
      </c>
      <c r="AM24" s="6">
        <f>VLOOKUP(AK6,'5.1. свед. о мерах'!$A$6:$E$19,5,0)</f>
        <v>5</v>
      </c>
      <c r="AN24" s="6">
        <f t="shared" ref="AN24:AN26" si="46">ROUND(AM24*AL24,2)</f>
        <v>2</v>
      </c>
      <c r="AO24" s="35"/>
      <c r="AP24" s="34">
        <v>0.4</v>
      </c>
      <c r="AQ24" s="34">
        <v>0.4</v>
      </c>
      <c r="AR24" s="6">
        <f>VLOOKUP(AP6,'5.1. свед. о мерах'!$A$6:$E$19,5,0)</f>
        <v>5</v>
      </c>
      <c r="AS24" s="6">
        <f t="shared" ref="AS24:AS26" si="47">ROUND(AR24*AQ24,2)</f>
        <v>2</v>
      </c>
      <c r="AT24" s="35"/>
      <c r="AU24" s="34">
        <v>0.4</v>
      </c>
      <c r="AV24" s="34">
        <v>0.4</v>
      </c>
      <c r="AW24" s="6">
        <f>VLOOKUP(AU6,'5.1. свед. о мерах'!$A$6:$E$19,5,0)</f>
        <v>5</v>
      </c>
      <c r="AX24" s="6">
        <f t="shared" ref="AX24:AX26" si="48">ROUND(AW24*AV24,2)</f>
        <v>2</v>
      </c>
      <c r="AY24" s="35"/>
      <c r="AZ24" s="34">
        <v>0.4</v>
      </c>
      <c r="BA24" s="34">
        <v>0.4</v>
      </c>
      <c r="BB24" s="6">
        <f>VLOOKUP(AZ6,'5.1. свед. о мерах'!$A$6:$E$19,5,0)</f>
        <v>5</v>
      </c>
      <c r="BC24" s="6">
        <f t="shared" ref="BC24:BC26" si="49">ROUND(BB24*BA24,2)</f>
        <v>2</v>
      </c>
      <c r="BD24" s="35"/>
      <c r="BE24" s="34">
        <v>0.4</v>
      </c>
      <c r="BF24" s="34">
        <v>0.4</v>
      </c>
      <c r="BG24" s="6">
        <f>VLOOKUP(BE6,'5.1. свед. о мерах'!$A$6:$E$19,5,0)</f>
        <v>5</v>
      </c>
      <c r="BH24" s="6">
        <f t="shared" ref="BH24:BH26" si="50">ROUND(BG24*BF24,2)</f>
        <v>2</v>
      </c>
      <c r="BI24" s="35"/>
      <c r="BJ24" s="34">
        <v>0.4</v>
      </c>
      <c r="BK24" s="34">
        <v>0.4</v>
      </c>
      <c r="BL24" s="6">
        <f>VLOOKUP(BJ6,'5.1. свед. о мерах'!$A$6:$E$19,5,0)</f>
        <v>5</v>
      </c>
      <c r="BM24" s="6">
        <f t="shared" ref="BM24:BM26" si="51">ROUND(BL24*BK24,2)</f>
        <v>2</v>
      </c>
      <c r="BN24" s="35"/>
      <c r="BO24" s="34">
        <v>0.4</v>
      </c>
      <c r="BP24" s="34">
        <v>0.4</v>
      </c>
      <c r="BQ24" s="6">
        <f>VLOOKUP(BO6,'5.1. свед. о мерах'!$A$6:$E$19,5,0)</f>
        <v>5</v>
      </c>
      <c r="BR24" s="6">
        <f t="shared" ref="BR24:BR26" si="52">ROUND(BQ24*BP24,2)</f>
        <v>2</v>
      </c>
      <c r="BS24" s="35"/>
    </row>
    <row r="25" spans="1:71" ht="30">
      <c r="A25" s="42" t="s">
        <v>145</v>
      </c>
      <c r="B25" s="34">
        <v>0.3</v>
      </c>
      <c r="C25" s="34">
        <v>0.3</v>
      </c>
      <c r="D25" s="6">
        <f>VLOOKUP(B6,'5.2. свед. о инветариз'!$A$6:$E$19,5,0)</f>
        <v>5</v>
      </c>
      <c r="E25" s="6">
        <f t="shared" si="0"/>
        <v>1.5</v>
      </c>
      <c r="F25" s="35"/>
      <c r="G25" s="34">
        <v>0.3</v>
      </c>
      <c r="H25" s="34">
        <v>0.3</v>
      </c>
      <c r="I25" s="6">
        <f>VLOOKUP(G6,'5.2. свед. о инветариз'!$A$6:$E$19,5,0)</f>
        <v>5</v>
      </c>
      <c r="J25" s="6">
        <f t="shared" si="40"/>
        <v>1.5</v>
      </c>
      <c r="K25" s="35"/>
      <c r="L25" s="34">
        <v>0.3</v>
      </c>
      <c r="M25" s="34">
        <v>0.3</v>
      </c>
      <c r="N25" s="6">
        <f>VLOOKUP(L6,'5.2. свед. о инветариз'!$A$6:$E$19,5,0)</f>
        <v>5</v>
      </c>
      <c r="O25" s="6">
        <f t="shared" si="41"/>
        <v>1.5</v>
      </c>
      <c r="P25" s="35"/>
      <c r="Q25" s="34">
        <v>0.3</v>
      </c>
      <c r="R25" s="34">
        <v>0.3</v>
      </c>
      <c r="S25" s="6">
        <f>VLOOKUP(Q6,'5.2. свед. о инветариз'!$A$6:$E$19,5,0)</f>
        <v>5</v>
      </c>
      <c r="T25" s="6">
        <f t="shared" si="42"/>
        <v>1.5</v>
      </c>
      <c r="U25" s="35"/>
      <c r="V25" s="34">
        <v>0.3</v>
      </c>
      <c r="W25" s="34">
        <v>0.3</v>
      </c>
      <c r="X25" s="6">
        <f>VLOOKUP(V6,'5.2. свед. о инветариз'!$A$6:$E$19,5,0)</f>
        <v>5</v>
      </c>
      <c r="Y25" s="6">
        <f t="shared" si="43"/>
        <v>1.5</v>
      </c>
      <c r="Z25" s="35"/>
      <c r="AA25" s="34">
        <v>0.3</v>
      </c>
      <c r="AB25" s="34">
        <v>0.3</v>
      </c>
      <c r="AC25" s="6">
        <f>VLOOKUP(AA6,'5.2. свед. о инветариз'!$A$6:$E$19,5,0)</f>
        <v>5</v>
      </c>
      <c r="AD25" s="6">
        <f t="shared" si="44"/>
        <v>1.5</v>
      </c>
      <c r="AE25" s="35"/>
      <c r="AF25" s="34">
        <v>0.3</v>
      </c>
      <c r="AG25" s="34">
        <v>0.3</v>
      </c>
      <c r="AH25" s="6">
        <f>VLOOKUP(AF6,'5.2. свед. о инветариз'!$A$6:$E$19,5,0)</f>
        <v>5</v>
      </c>
      <c r="AI25" s="6">
        <f t="shared" si="45"/>
        <v>1.5</v>
      </c>
      <c r="AJ25" s="35"/>
      <c r="AK25" s="34">
        <v>0.3</v>
      </c>
      <c r="AL25" s="34">
        <v>0.3</v>
      </c>
      <c r="AM25" s="6">
        <f>VLOOKUP(AK6,'5.2. свед. о инветариз'!$A$6:$E$19,5,0)</f>
        <v>5</v>
      </c>
      <c r="AN25" s="6">
        <f t="shared" si="46"/>
        <v>1.5</v>
      </c>
      <c r="AO25" s="35"/>
      <c r="AP25" s="34">
        <v>0.3</v>
      </c>
      <c r="AQ25" s="34">
        <v>0.3</v>
      </c>
      <c r="AR25" s="6">
        <f>VLOOKUP(AP6,'5.2. свед. о инветариз'!$A$6:$E$19,5,0)</f>
        <v>5</v>
      </c>
      <c r="AS25" s="6">
        <f t="shared" si="47"/>
        <v>1.5</v>
      </c>
      <c r="AT25" s="35"/>
      <c r="AU25" s="34">
        <v>0.3</v>
      </c>
      <c r="AV25" s="34">
        <v>0.3</v>
      </c>
      <c r="AW25" s="6">
        <f>VLOOKUP(AU6,'5.2. свед. о инветариз'!$A$6:$E$19,5,0)</f>
        <v>5</v>
      </c>
      <c r="AX25" s="6">
        <f t="shared" si="48"/>
        <v>1.5</v>
      </c>
      <c r="AY25" s="35"/>
      <c r="AZ25" s="34">
        <v>0.3</v>
      </c>
      <c r="BA25" s="34">
        <v>0.3</v>
      </c>
      <c r="BB25" s="6">
        <f>VLOOKUP(AZ6,'5.2. свед. о инветариз'!$A$6:$E$19,5,0)</f>
        <v>5</v>
      </c>
      <c r="BC25" s="6">
        <f t="shared" si="49"/>
        <v>1.5</v>
      </c>
      <c r="BD25" s="35"/>
      <c r="BE25" s="34">
        <v>0.3</v>
      </c>
      <c r="BF25" s="34">
        <v>0.3</v>
      </c>
      <c r="BG25" s="6">
        <f>VLOOKUP(BE6,'5.2. свед. о инветариз'!$A$6:$E$19,5,0)</f>
        <v>5</v>
      </c>
      <c r="BH25" s="6">
        <f t="shared" si="50"/>
        <v>1.5</v>
      </c>
      <c r="BI25" s="35"/>
      <c r="BJ25" s="34">
        <v>0.3</v>
      </c>
      <c r="BK25" s="34">
        <v>0.3</v>
      </c>
      <c r="BL25" s="6">
        <f>VLOOKUP(BJ6,'5.2. свед. о инветариз'!$A$6:$E$19,5,0)</f>
        <v>5</v>
      </c>
      <c r="BM25" s="6">
        <f t="shared" si="51"/>
        <v>1.5</v>
      </c>
      <c r="BN25" s="35"/>
      <c r="BO25" s="34">
        <v>0.3</v>
      </c>
      <c r="BP25" s="34">
        <v>0.3</v>
      </c>
      <c r="BQ25" s="6">
        <f>VLOOKUP(BO6,'5.2. свед. о инветариз'!$A$6:$E$19,5,0)</f>
        <v>5</v>
      </c>
      <c r="BR25" s="6">
        <f t="shared" si="52"/>
        <v>1.5</v>
      </c>
      <c r="BS25" s="35"/>
    </row>
    <row r="26" spans="1:71" ht="45">
      <c r="A26" s="42" t="s">
        <v>102</v>
      </c>
      <c r="B26" s="34">
        <v>0.3</v>
      </c>
      <c r="C26" s="34">
        <v>0.3</v>
      </c>
      <c r="D26" s="6">
        <f>VLOOKUP(B6,'5.3. свед. о рез-х фин. контр'!$A$6:$E$19,5,0)</f>
        <v>5</v>
      </c>
      <c r="E26" s="6">
        <f t="shared" si="0"/>
        <v>1.5</v>
      </c>
      <c r="F26" s="35"/>
      <c r="G26" s="34">
        <v>0.3</v>
      </c>
      <c r="H26" s="34">
        <v>0.3</v>
      </c>
      <c r="I26" s="6">
        <f>VLOOKUP(G6,'5.3. свед. о рез-х фин. контр'!$A$6:$E$19,5,0)</f>
        <v>5</v>
      </c>
      <c r="J26" s="6">
        <f t="shared" si="40"/>
        <v>1.5</v>
      </c>
      <c r="K26" s="35"/>
      <c r="L26" s="34">
        <v>0.3</v>
      </c>
      <c r="M26" s="34">
        <v>0.3</v>
      </c>
      <c r="N26" s="6">
        <f>VLOOKUP(L6,'5.3. свед. о рез-х фин. контр'!$A$6:$E$19,5,0)</f>
        <v>5</v>
      </c>
      <c r="O26" s="6">
        <f t="shared" si="41"/>
        <v>1.5</v>
      </c>
      <c r="P26" s="35"/>
      <c r="Q26" s="34">
        <v>0.3</v>
      </c>
      <c r="R26" s="34">
        <v>0.3</v>
      </c>
      <c r="S26" s="6">
        <f>VLOOKUP(Q6,'5.3. свед. о рез-х фин. контр'!$A$6:$E$19,5,0)</f>
        <v>5</v>
      </c>
      <c r="T26" s="6">
        <f t="shared" si="42"/>
        <v>1.5</v>
      </c>
      <c r="U26" s="35"/>
      <c r="V26" s="34">
        <v>0.3</v>
      </c>
      <c r="W26" s="34">
        <v>0.3</v>
      </c>
      <c r="X26" s="6">
        <f>VLOOKUP(V6,'5.3. свед. о рез-х фин. контр'!$A$6:$E$19,5,0)</f>
        <v>5</v>
      </c>
      <c r="Y26" s="6">
        <f t="shared" si="43"/>
        <v>1.5</v>
      </c>
      <c r="Z26" s="35"/>
      <c r="AA26" s="34">
        <v>0.3</v>
      </c>
      <c r="AB26" s="34">
        <v>0.3</v>
      </c>
      <c r="AC26" s="6">
        <f>VLOOKUP(AA6,'5.3. свед. о рез-х фин. контр'!$A$6:$E$19,5,0)</f>
        <v>5</v>
      </c>
      <c r="AD26" s="6">
        <f t="shared" si="44"/>
        <v>1.5</v>
      </c>
      <c r="AE26" s="35"/>
      <c r="AF26" s="34">
        <v>0.3</v>
      </c>
      <c r="AG26" s="34">
        <v>0.3</v>
      </c>
      <c r="AH26" s="6">
        <f>VLOOKUP(AF6,'5.3. свед. о рез-х фин. контр'!$A$6:$E$19,5,0)</f>
        <v>5</v>
      </c>
      <c r="AI26" s="6">
        <f t="shared" si="45"/>
        <v>1.5</v>
      </c>
      <c r="AJ26" s="35"/>
      <c r="AK26" s="34">
        <v>0.3</v>
      </c>
      <c r="AL26" s="34">
        <v>0.3</v>
      </c>
      <c r="AM26" s="6">
        <f>VLOOKUP(AK6,'5.3. свед. о рез-х фин. контр'!$A$6:$E$19,5,0)</f>
        <v>5</v>
      </c>
      <c r="AN26" s="6">
        <f t="shared" si="46"/>
        <v>1.5</v>
      </c>
      <c r="AO26" s="35"/>
      <c r="AP26" s="34">
        <v>0.3</v>
      </c>
      <c r="AQ26" s="34">
        <v>0.3</v>
      </c>
      <c r="AR26" s="6">
        <f>VLOOKUP(AP6,'5.3. свед. о рез-х фин. контр'!$A$6:$E$19,5,0)</f>
        <v>5</v>
      </c>
      <c r="AS26" s="6">
        <f t="shared" si="47"/>
        <v>1.5</v>
      </c>
      <c r="AT26" s="35"/>
      <c r="AU26" s="34">
        <v>0.3</v>
      </c>
      <c r="AV26" s="34">
        <v>0.3</v>
      </c>
      <c r="AW26" s="6">
        <f>VLOOKUP(AU6,'5.3. свед. о рез-х фин. контр'!$A$6:$E$19,5,0)</f>
        <v>5</v>
      </c>
      <c r="AX26" s="6">
        <f t="shared" si="48"/>
        <v>1.5</v>
      </c>
      <c r="AY26" s="35"/>
      <c r="AZ26" s="34">
        <v>0.3</v>
      </c>
      <c r="BA26" s="34">
        <v>0.3</v>
      </c>
      <c r="BB26" s="6">
        <f>VLOOKUP(AZ6,'5.3. свед. о рез-х фин. контр'!$A$6:$E$19,5,0)</f>
        <v>5</v>
      </c>
      <c r="BC26" s="6">
        <f t="shared" si="49"/>
        <v>1.5</v>
      </c>
      <c r="BD26" s="35"/>
      <c r="BE26" s="34">
        <v>0.3</v>
      </c>
      <c r="BF26" s="34">
        <v>0.3</v>
      </c>
      <c r="BG26" s="6">
        <f>VLOOKUP(BE6,'5.3. свед. о рез-х фин. контр'!$A$6:$E$19,5,0)</f>
        <v>5</v>
      </c>
      <c r="BH26" s="6">
        <f t="shared" si="50"/>
        <v>1.5</v>
      </c>
      <c r="BI26" s="35"/>
      <c r="BJ26" s="34">
        <v>0.3</v>
      </c>
      <c r="BK26" s="34">
        <v>0.3</v>
      </c>
      <c r="BL26" s="6">
        <f>VLOOKUP(BJ6,'5.3. свед. о рез-х фин. контр'!$A$6:$E$19,5,0)</f>
        <v>5</v>
      </c>
      <c r="BM26" s="6">
        <f t="shared" si="51"/>
        <v>1.5</v>
      </c>
      <c r="BN26" s="35"/>
      <c r="BO26" s="34">
        <v>0.3</v>
      </c>
      <c r="BP26" s="34">
        <v>0.3</v>
      </c>
      <c r="BQ26" s="6">
        <f>VLOOKUP(BO6,'5.3. свед. о рез-х фин. контр'!$A$6:$E$19,5,0)</f>
        <v>5</v>
      </c>
      <c r="BR26" s="6">
        <f t="shared" si="52"/>
        <v>1.5</v>
      </c>
      <c r="BS26" s="35"/>
    </row>
    <row r="27" spans="1:71" s="25" customFormat="1" ht="14.25">
      <c r="A27" s="43" t="s">
        <v>48</v>
      </c>
      <c r="B27" s="36">
        <v>0.13</v>
      </c>
      <c r="C27" s="36">
        <f>ROUND(B27*100%/96%,5)</f>
        <v>0.13542000000000001</v>
      </c>
      <c r="D27" s="29"/>
      <c r="E27" s="29">
        <f>SUM(E28:E30)</f>
        <v>3.5</v>
      </c>
      <c r="F27" s="33">
        <f>ROUND(E27*C27,2)</f>
        <v>0.47</v>
      </c>
      <c r="G27" s="36">
        <v>0.13</v>
      </c>
      <c r="H27" s="36">
        <f>ROUND(G27*100%/96%,5)</f>
        <v>0.13542000000000001</v>
      </c>
      <c r="I27" s="29"/>
      <c r="J27" s="29">
        <f>SUM(J28:J30)</f>
        <v>0</v>
      </c>
      <c r="K27" s="33">
        <f>ROUND(J27*H27,2)</f>
        <v>0</v>
      </c>
      <c r="L27" s="36">
        <v>0.13</v>
      </c>
      <c r="M27" s="36">
        <f>ROUND(L27*100%/96%,5)</f>
        <v>0.13542000000000001</v>
      </c>
      <c r="N27" s="29"/>
      <c r="O27" s="29">
        <f>SUM(O28:O30)</f>
        <v>2</v>
      </c>
      <c r="P27" s="33">
        <f>ROUND(O27*M27,2)</f>
        <v>0.27</v>
      </c>
      <c r="Q27" s="36">
        <v>0.13</v>
      </c>
      <c r="R27" s="36">
        <f>ROUND(Q27*100%/96%,5)</f>
        <v>0.13542000000000001</v>
      </c>
      <c r="S27" s="29"/>
      <c r="T27" s="29">
        <f>SUM(T28:T30)</f>
        <v>5</v>
      </c>
      <c r="U27" s="33">
        <f>ROUND(T27*R27,2)</f>
        <v>0.68</v>
      </c>
      <c r="V27" s="36">
        <v>0.13</v>
      </c>
      <c r="W27" s="36">
        <v>0.13</v>
      </c>
      <c r="X27" s="29"/>
      <c r="Y27" s="29">
        <f>SUM(Y28:Y30)</f>
        <v>5</v>
      </c>
      <c r="Z27" s="33">
        <f>ROUND(Y27*W27,2)</f>
        <v>0.65</v>
      </c>
      <c r="AA27" s="36">
        <v>0.13</v>
      </c>
      <c r="AB27" s="36">
        <v>0.13</v>
      </c>
      <c r="AC27" s="29"/>
      <c r="AD27" s="29">
        <f>SUM(AD28:AD30)</f>
        <v>5</v>
      </c>
      <c r="AE27" s="33">
        <f>ROUND(AD27*AB27,2)</f>
        <v>0.65</v>
      </c>
      <c r="AF27" s="36">
        <v>0.13</v>
      </c>
      <c r="AG27" s="36">
        <f>ROUND(AF27*100%/96%,5)</f>
        <v>0.13542000000000001</v>
      </c>
      <c r="AH27" s="29"/>
      <c r="AI27" s="29">
        <f>SUM(AI28:AI30)</f>
        <v>5</v>
      </c>
      <c r="AJ27" s="33">
        <f>ROUND(AI27*AG27,2)</f>
        <v>0.68</v>
      </c>
      <c r="AK27" s="36">
        <v>0.13</v>
      </c>
      <c r="AL27" s="36">
        <v>0.13</v>
      </c>
      <c r="AM27" s="29"/>
      <c r="AN27" s="29">
        <f>SUM(AN28:AN30)</f>
        <v>3.5</v>
      </c>
      <c r="AO27" s="33">
        <f>ROUND(AN27*AL27,2)</f>
        <v>0.46</v>
      </c>
      <c r="AP27" s="36">
        <v>0.13</v>
      </c>
      <c r="AQ27" s="36">
        <f>ROUND(AP27*100%/96%,5)</f>
        <v>0.13542000000000001</v>
      </c>
      <c r="AR27" s="29"/>
      <c r="AS27" s="29">
        <f>SUM(AS28:AS30)</f>
        <v>5</v>
      </c>
      <c r="AT27" s="33">
        <f>ROUND(AS27*AQ27,2)</f>
        <v>0.68</v>
      </c>
      <c r="AU27" s="36">
        <v>0.13</v>
      </c>
      <c r="AV27" s="36">
        <f>ROUND(AU27*100%/96%,5)</f>
        <v>0.13542000000000001</v>
      </c>
      <c r="AW27" s="29"/>
      <c r="AX27" s="29">
        <f>SUM(AX28:AX30)</f>
        <v>5</v>
      </c>
      <c r="AY27" s="33">
        <f>ROUND(AX27*AV27,2)</f>
        <v>0.68</v>
      </c>
      <c r="AZ27" s="36">
        <v>0.13</v>
      </c>
      <c r="BA27" s="36">
        <f>ROUND(AZ27*100%/96%,5)</f>
        <v>0.13542000000000001</v>
      </c>
      <c r="BB27" s="29"/>
      <c r="BC27" s="29">
        <f>SUM(BC28:BC30)</f>
        <v>3</v>
      </c>
      <c r="BD27" s="33">
        <f>ROUND(BC27*BA27,2)</f>
        <v>0.41</v>
      </c>
      <c r="BE27" s="36">
        <v>0.13</v>
      </c>
      <c r="BF27" s="36">
        <v>0.12</v>
      </c>
      <c r="BG27" s="29"/>
      <c r="BH27" s="29">
        <f>SUM(BH28:BH30)</f>
        <v>4.5999999999999996</v>
      </c>
      <c r="BI27" s="33">
        <f>ROUND(BH27*BF27,2)</f>
        <v>0.55000000000000004</v>
      </c>
      <c r="BJ27" s="36">
        <v>0.13</v>
      </c>
      <c r="BK27" s="36">
        <f>ROUND(BJ27*100%/96%,5)</f>
        <v>0.13542000000000001</v>
      </c>
      <c r="BL27" s="29"/>
      <c r="BM27" s="29">
        <f>SUM(BM28:BM30)</f>
        <v>5</v>
      </c>
      <c r="BN27" s="33">
        <f>ROUND(BM27*BK27,2)</f>
        <v>0.68</v>
      </c>
      <c r="BO27" s="36">
        <v>0.13</v>
      </c>
      <c r="BP27" s="36">
        <v>0.12</v>
      </c>
      <c r="BQ27" s="29"/>
      <c r="BR27" s="29">
        <f>SUM(BR28:BR30)</f>
        <v>5</v>
      </c>
      <c r="BS27" s="33">
        <f>ROUND(BR27*BP27,2)</f>
        <v>0.6</v>
      </c>
    </row>
    <row r="28" spans="1:71" s="24" customFormat="1" ht="30">
      <c r="A28" s="54" t="s">
        <v>84</v>
      </c>
      <c r="B28" s="45">
        <v>0.3</v>
      </c>
      <c r="C28" s="45">
        <v>0.3</v>
      </c>
      <c r="D28" s="19">
        <f>VLOOKUP(B6,'6.1.фин.контр.'!$A$6:$E$19,5,0)</f>
        <v>5</v>
      </c>
      <c r="E28" s="19">
        <f t="shared" si="0"/>
        <v>1.5</v>
      </c>
      <c r="F28" s="47"/>
      <c r="G28" s="45">
        <v>0.3</v>
      </c>
      <c r="H28" s="45">
        <v>0</v>
      </c>
      <c r="I28" s="56"/>
      <c r="J28" s="56"/>
      <c r="K28" s="64"/>
      <c r="L28" s="45">
        <v>0.3</v>
      </c>
      <c r="M28" s="45">
        <v>0.3</v>
      </c>
      <c r="N28" s="19">
        <f>VLOOKUP(L6,'6.1.фин.контр.'!$A$6:$E$19,5,0)</f>
        <v>0</v>
      </c>
      <c r="O28" s="19">
        <f t="shared" ref="O28:O30" si="53">ROUND(N28*M28,2)</f>
        <v>0</v>
      </c>
      <c r="P28" s="47"/>
      <c r="Q28" s="45">
        <v>0.3</v>
      </c>
      <c r="R28" s="45">
        <v>0</v>
      </c>
      <c r="S28" s="56"/>
      <c r="T28" s="56"/>
      <c r="U28" s="64"/>
      <c r="V28" s="45">
        <v>0.3</v>
      </c>
      <c r="W28" s="45">
        <v>0.3</v>
      </c>
      <c r="X28" s="19">
        <f>VLOOKUP(V6,'6.1.фин.контр.'!$A$6:$E$19,5,0)</f>
        <v>5</v>
      </c>
      <c r="Y28" s="19">
        <f t="shared" ref="Y28:Y30" si="54">ROUND(X28*W28,2)</f>
        <v>1.5</v>
      </c>
      <c r="Z28" s="47"/>
      <c r="AA28" s="45">
        <v>0.3</v>
      </c>
      <c r="AB28" s="45">
        <v>0.3</v>
      </c>
      <c r="AC28" s="19">
        <f>VLOOKUP(AA6,'6.1.фин.контр.'!$A$6:$E$19,5,0)</f>
        <v>5</v>
      </c>
      <c r="AD28" s="19">
        <f t="shared" ref="AD28:AD30" si="55">ROUND(AC28*AB28,2)</f>
        <v>1.5</v>
      </c>
      <c r="AE28" s="47"/>
      <c r="AF28" s="45">
        <v>0.3</v>
      </c>
      <c r="AG28" s="45">
        <v>0</v>
      </c>
      <c r="AH28" s="56"/>
      <c r="AI28" s="56"/>
      <c r="AJ28" s="64"/>
      <c r="AK28" s="45">
        <v>0.3</v>
      </c>
      <c r="AL28" s="45">
        <v>0.3</v>
      </c>
      <c r="AM28" s="19">
        <f>VLOOKUP(AK6,'6.1.фин.контр.'!$A$6:$E$19,5,0)</f>
        <v>5</v>
      </c>
      <c r="AN28" s="19">
        <f t="shared" ref="AN28:AN30" si="56">ROUND(AM28*AL28,2)</f>
        <v>1.5</v>
      </c>
      <c r="AO28" s="47"/>
      <c r="AP28" s="45">
        <v>0.3</v>
      </c>
      <c r="AQ28" s="45">
        <v>0</v>
      </c>
      <c r="AR28" s="56"/>
      <c r="AS28" s="56"/>
      <c r="AT28" s="64"/>
      <c r="AU28" s="45">
        <v>0.3</v>
      </c>
      <c r="AV28" s="45">
        <v>0</v>
      </c>
      <c r="AW28" s="56"/>
      <c r="AX28" s="56"/>
      <c r="AY28" s="64"/>
      <c r="AZ28" s="45">
        <v>0.3</v>
      </c>
      <c r="BA28" s="45">
        <v>0</v>
      </c>
      <c r="BB28" s="56"/>
      <c r="BC28" s="56"/>
      <c r="BD28" s="64"/>
      <c r="BE28" s="45">
        <v>0.3</v>
      </c>
      <c r="BF28" s="45">
        <v>0.3</v>
      </c>
      <c r="BG28" s="19">
        <f>VLOOKUP(BE6,'6.1.фин.контр.'!$A$6:$E$19,5,0)</f>
        <v>5</v>
      </c>
      <c r="BH28" s="19">
        <f t="shared" ref="BH28:BH30" si="57">ROUND(BG28*BF28,2)</f>
        <v>1.5</v>
      </c>
      <c r="BI28" s="47"/>
      <c r="BJ28" s="45">
        <v>0.3</v>
      </c>
      <c r="BK28" s="45">
        <v>0</v>
      </c>
      <c r="BL28" s="56"/>
      <c r="BM28" s="56"/>
      <c r="BN28" s="64"/>
      <c r="BO28" s="45">
        <v>0.3</v>
      </c>
      <c r="BP28" s="45">
        <v>0.3</v>
      </c>
      <c r="BQ28" s="19">
        <f>VLOOKUP(BO6,'6.1.фин.контр.'!$A$6:$E$19,5,0)</f>
        <v>5</v>
      </c>
      <c r="BR28" s="19">
        <f t="shared" ref="BR28:BR30" si="58">ROUND(BQ28*BP28,2)</f>
        <v>1.5</v>
      </c>
      <c r="BS28" s="47"/>
    </row>
    <row r="29" spans="1:71" s="24" customFormat="1" ht="30">
      <c r="A29" s="54" t="s">
        <v>85</v>
      </c>
      <c r="B29" s="45">
        <v>0.3</v>
      </c>
      <c r="C29" s="45">
        <v>0.3</v>
      </c>
      <c r="D29" s="19">
        <f>VLOOKUP(B6,'6.2. подразд.фин.контр.'!$A$6:$F$19,6,0)</f>
        <v>0</v>
      </c>
      <c r="E29" s="19">
        <f t="shared" si="0"/>
        <v>0</v>
      </c>
      <c r="F29" s="47"/>
      <c r="G29" s="45">
        <v>0.3</v>
      </c>
      <c r="H29" s="45">
        <v>0</v>
      </c>
      <c r="I29" s="56"/>
      <c r="J29" s="56"/>
      <c r="K29" s="64"/>
      <c r="L29" s="45">
        <v>0.3</v>
      </c>
      <c r="M29" s="45">
        <v>0.3</v>
      </c>
      <c r="N29" s="19">
        <f>VLOOKUP(L6,'6.2. подразд.фин.контр.'!$A$6:$F$19,6,0)</f>
        <v>0</v>
      </c>
      <c r="O29" s="19">
        <f t="shared" si="53"/>
        <v>0</v>
      </c>
      <c r="P29" s="47"/>
      <c r="Q29" s="45">
        <v>0.3</v>
      </c>
      <c r="R29" s="45">
        <v>0</v>
      </c>
      <c r="S29" s="56"/>
      <c r="T29" s="56"/>
      <c r="U29" s="64"/>
      <c r="V29" s="45">
        <v>0.3</v>
      </c>
      <c r="W29" s="45">
        <v>0.3</v>
      </c>
      <c r="X29" s="19">
        <f>VLOOKUP(V6,'6.2. подразд.фин.контр.'!$A$6:$F$19,6,0)</f>
        <v>5</v>
      </c>
      <c r="Y29" s="19">
        <f t="shared" si="54"/>
        <v>1.5</v>
      </c>
      <c r="Z29" s="47"/>
      <c r="AA29" s="45">
        <v>0.3</v>
      </c>
      <c r="AB29" s="45">
        <v>0.3</v>
      </c>
      <c r="AC29" s="19">
        <f>VLOOKUP(AA6,'6.2. подразд.фин.контр.'!$A$6:$F$19,6,0)</f>
        <v>5</v>
      </c>
      <c r="AD29" s="19">
        <f t="shared" si="55"/>
        <v>1.5</v>
      </c>
      <c r="AE29" s="47"/>
      <c r="AF29" s="45">
        <v>0.3</v>
      </c>
      <c r="AG29" s="45">
        <v>0</v>
      </c>
      <c r="AH29" s="56"/>
      <c r="AI29" s="56"/>
      <c r="AJ29" s="64"/>
      <c r="AK29" s="45">
        <v>0.3</v>
      </c>
      <c r="AL29" s="45">
        <v>0.3</v>
      </c>
      <c r="AM29" s="19">
        <f>VLOOKUP(AK6,'6.2. подразд.фин.контр.'!$A$6:$F$19,6,0)</f>
        <v>0</v>
      </c>
      <c r="AN29" s="19">
        <f t="shared" si="56"/>
        <v>0</v>
      </c>
      <c r="AO29" s="47"/>
      <c r="AP29" s="45">
        <v>0.3</v>
      </c>
      <c r="AQ29" s="45">
        <v>0</v>
      </c>
      <c r="AR29" s="56"/>
      <c r="AS29" s="56"/>
      <c r="AT29" s="64"/>
      <c r="AU29" s="45">
        <v>0.3</v>
      </c>
      <c r="AV29" s="45">
        <v>0</v>
      </c>
      <c r="AW29" s="56"/>
      <c r="AX29" s="56"/>
      <c r="AY29" s="64"/>
      <c r="AZ29" s="45">
        <v>0.3</v>
      </c>
      <c r="BA29" s="45">
        <v>0</v>
      </c>
      <c r="BB29" s="56"/>
      <c r="BC29" s="56"/>
      <c r="BD29" s="64"/>
      <c r="BE29" s="45">
        <v>0.3</v>
      </c>
      <c r="BF29" s="45">
        <v>0.3</v>
      </c>
      <c r="BG29" s="19">
        <f>VLOOKUP(BE6,'6.2. подразд.фин.контр.'!$A$6:$F$19,6,0)</f>
        <v>5</v>
      </c>
      <c r="BH29" s="19">
        <f t="shared" si="57"/>
        <v>1.5</v>
      </c>
      <c r="BI29" s="47"/>
      <c r="BJ29" s="45">
        <v>0.3</v>
      </c>
      <c r="BK29" s="45">
        <v>0</v>
      </c>
      <c r="BL29" s="56"/>
      <c r="BM29" s="56"/>
      <c r="BN29" s="64"/>
      <c r="BO29" s="45">
        <v>0.3</v>
      </c>
      <c r="BP29" s="45">
        <v>0.3</v>
      </c>
      <c r="BQ29" s="19">
        <f>VLOOKUP(BO6,'6.2. подразд.фин.контр.'!$A$6:$F$19,6,0)</f>
        <v>5</v>
      </c>
      <c r="BR29" s="19">
        <f t="shared" si="58"/>
        <v>1.5</v>
      </c>
      <c r="BS29" s="47"/>
    </row>
    <row r="30" spans="1:71" s="24" customFormat="1" ht="30">
      <c r="A30" s="54" t="s">
        <v>86</v>
      </c>
      <c r="B30" s="45">
        <v>0.4</v>
      </c>
      <c r="C30" s="45">
        <v>0.4</v>
      </c>
      <c r="D30" s="19">
        <f>VLOOKUP(B6,'6.3. объем недостач и хищений'!$A$6:$L$19,12,0)</f>
        <v>5</v>
      </c>
      <c r="E30" s="19">
        <f t="shared" si="0"/>
        <v>2</v>
      </c>
      <c r="F30" s="47"/>
      <c r="G30" s="45">
        <v>0.4</v>
      </c>
      <c r="H30" s="45">
        <v>1</v>
      </c>
      <c r="I30" s="19">
        <f>VLOOKUP(G6,'6.3. объем недостач и хищений'!$A$6:$L$19,12,0)</f>
        <v>0</v>
      </c>
      <c r="J30" s="19">
        <f t="shared" ref="J30" si="59">ROUND(I30*H30,2)</f>
        <v>0</v>
      </c>
      <c r="K30" s="47"/>
      <c r="L30" s="45">
        <v>0.4</v>
      </c>
      <c r="M30" s="45">
        <v>0.4</v>
      </c>
      <c r="N30" s="19">
        <f>VLOOKUP(L6,'6.3. объем недостач и хищений'!$A$6:$L$19,12,0)</f>
        <v>5</v>
      </c>
      <c r="O30" s="19">
        <f t="shared" si="53"/>
        <v>2</v>
      </c>
      <c r="P30" s="47"/>
      <c r="Q30" s="45">
        <v>0.4</v>
      </c>
      <c r="R30" s="45">
        <v>1</v>
      </c>
      <c r="S30" s="19">
        <f>VLOOKUP(Q6,'6.3. объем недостач и хищений'!$A$6:$L$19,12,0)</f>
        <v>5</v>
      </c>
      <c r="T30" s="19">
        <f t="shared" ref="T30" si="60">ROUND(S30*R30,2)</f>
        <v>5</v>
      </c>
      <c r="U30" s="47"/>
      <c r="V30" s="45">
        <v>0.4</v>
      </c>
      <c r="W30" s="45">
        <v>0.4</v>
      </c>
      <c r="X30" s="19">
        <f>VLOOKUP(V6,'6.3. объем недостач и хищений'!$A$6:$L$19,12,0)</f>
        <v>5</v>
      </c>
      <c r="Y30" s="19">
        <f t="shared" si="54"/>
        <v>2</v>
      </c>
      <c r="Z30" s="47"/>
      <c r="AA30" s="45">
        <v>0.4</v>
      </c>
      <c r="AB30" s="45">
        <v>0.4</v>
      </c>
      <c r="AC30" s="19">
        <f>VLOOKUP(AA6,'6.3. объем недостач и хищений'!$A$6:$L$19,12,0)</f>
        <v>5</v>
      </c>
      <c r="AD30" s="19">
        <f t="shared" si="55"/>
        <v>2</v>
      </c>
      <c r="AE30" s="47"/>
      <c r="AF30" s="45">
        <v>0.4</v>
      </c>
      <c r="AG30" s="45">
        <v>1</v>
      </c>
      <c r="AH30" s="19">
        <f>VLOOKUP(AF6,'6.3. объем недостач и хищений'!$A$6:$L$19,12,0)</f>
        <v>5</v>
      </c>
      <c r="AI30" s="19">
        <f t="shared" ref="AI30" si="61">ROUND(AH30*AG30,2)</f>
        <v>5</v>
      </c>
      <c r="AJ30" s="47"/>
      <c r="AK30" s="45">
        <v>0.4</v>
      </c>
      <c r="AL30" s="45">
        <v>0.4</v>
      </c>
      <c r="AM30" s="19">
        <f>VLOOKUP(AK6,'6.3. объем недостач и хищений'!$A$6:$L$19,12,0)</f>
        <v>5</v>
      </c>
      <c r="AN30" s="19">
        <f t="shared" si="56"/>
        <v>2</v>
      </c>
      <c r="AO30" s="47"/>
      <c r="AP30" s="45">
        <v>0.4</v>
      </c>
      <c r="AQ30" s="45">
        <v>1</v>
      </c>
      <c r="AR30" s="19">
        <f>VLOOKUP(AP6,'6.3. объем недостач и хищений'!$A$6:$L$19,12,0)</f>
        <v>5</v>
      </c>
      <c r="AS30" s="19">
        <f t="shared" ref="AS30" si="62">ROUND(AR30*AQ30,2)</f>
        <v>5</v>
      </c>
      <c r="AT30" s="47"/>
      <c r="AU30" s="45">
        <v>0.4</v>
      </c>
      <c r="AV30" s="45">
        <v>1</v>
      </c>
      <c r="AW30" s="19">
        <f>VLOOKUP(AU6,'6.3. объем недостач и хищений'!$A$6:$L$19,12,0)</f>
        <v>5</v>
      </c>
      <c r="AX30" s="19">
        <f t="shared" ref="AX30" si="63">ROUND(AW30*AV30,2)</f>
        <v>5</v>
      </c>
      <c r="AY30" s="47"/>
      <c r="AZ30" s="45">
        <v>0.4</v>
      </c>
      <c r="BA30" s="45">
        <v>1</v>
      </c>
      <c r="BB30" s="19">
        <f>VLOOKUP(AZ6,'6.3. объем недостач и хищений'!$A$6:$L$19,12,0)</f>
        <v>3</v>
      </c>
      <c r="BC30" s="19">
        <f t="shared" ref="BC30" si="64">ROUND(BB30*BA30,2)</f>
        <v>3</v>
      </c>
      <c r="BD30" s="47"/>
      <c r="BE30" s="45">
        <v>0.4</v>
      </c>
      <c r="BF30" s="45">
        <v>0.4</v>
      </c>
      <c r="BG30" s="19">
        <f>VLOOKUP(BE6,'6.3. объем недостач и хищений'!$A$6:$L$19,12,0)</f>
        <v>4</v>
      </c>
      <c r="BH30" s="19">
        <f t="shared" si="57"/>
        <v>1.6</v>
      </c>
      <c r="BI30" s="47"/>
      <c r="BJ30" s="45">
        <v>0.4</v>
      </c>
      <c r="BK30" s="45">
        <v>1</v>
      </c>
      <c r="BL30" s="19">
        <f>VLOOKUP(BJ6,'6.3. объем недостач и хищений'!$A$6:$L$19,12,0)</f>
        <v>5</v>
      </c>
      <c r="BM30" s="19">
        <f t="shared" ref="BM30" si="65">ROUND(BL30*BK30,2)</f>
        <v>5</v>
      </c>
      <c r="BN30" s="47"/>
      <c r="BO30" s="45">
        <v>0.4</v>
      </c>
      <c r="BP30" s="45">
        <v>0.4</v>
      </c>
      <c r="BQ30" s="19">
        <f>VLOOKUP(BO6,'6.3. объем недостач и хищений'!$A$6:$L$19,12,0)</f>
        <v>5</v>
      </c>
      <c r="BR30" s="19">
        <f t="shared" si="58"/>
        <v>2</v>
      </c>
      <c r="BS30" s="47"/>
    </row>
    <row r="31" spans="1:71" s="25" customFormat="1" ht="14.25">
      <c r="A31" s="43" t="s">
        <v>67</v>
      </c>
      <c r="B31" s="36">
        <v>0.04</v>
      </c>
      <c r="C31" s="36"/>
      <c r="D31" s="29"/>
      <c r="E31" s="29">
        <f>SUM(E32:E34)</f>
        <v>0</v>
      </c>
      <c r="F31" s="33">
        <f>ROUND(E31*C31,2)</f>
        <v>0</v>
      </c>
      <c r="G31" s="36">
        <v>0.04</v>
      </c>
      <c r="H31" s="30"/>
      <c r="I31" s="29"/>
      <c r="J31" s="29">
        <f>SUM(J32:J34)</f>
        <v>0</v>
      </c>
      <c r="K31" s="33">
        <f>ROUND(J31*H31,2)</f>
        <v>0</v>
      </c>
      <c r="L31" s="36">
        <v>0.04</v>
      </c>
      <c r="M31" s="30"/>
      <c r="N31" s="29"/>
      <c r="O31" s="29">
        <f>SUM(O32:O34)</f>
        <v>0</v>
      </c>
      <c r="P31" s="33">
        <f>ROUND(O31*M31,2)</f>
        <v>0</v>
      </c>
      <c r="Q31" s="36">
        <v>0.04</v>
      </c>
      <c r="R31" s="30"/>
      <c r="S31" s="29"/>
      <c r="T31" s="29">
        <f>SUM(T32:T34)</f>
        <v>0</v>
      </c>
      <c r="U31" s="33">
        <f>ROUND(T31*R31,2)</f>
        <v>0</v>
      </c>
      <c r="V31" s="36">
        <v>0.04</v>
      </c>
      <c r="W31" s="30">
        <v>0.04</v>
      </c>
      <c r="X31" s="29"/>
      <c r="Y31" s="29">
        <f>SUM(Y32:Y34)</f>
        <v>5</v>
      </c>
      <c r="Z31" s="33">
        <f>ROUND(Y31*W31,2)</f>
        <v>0.2</v>
      </c>
      <c r="AA31" s="36">
        <v>0.04</v>
      </c>
      <c r="AB31" s="36">
        <v>0.04</v>
      </c>
      <c r="AC31" s="29"/>
      <c r="AD31" s="29">
        <f>SUM(AD32:AD34)</f>
        <v>2</v>
      </c>
      <c r="AE31" s="33">
        <f>ROUND(AD31*AB31,2)</f>
        <v>0.08</v>
      </c>
      <c r="AF31" s="36">
        <v>0.04</v>
      </c>
      <c r="AG31" s="30"/>
      <c r="AH31" s="29"/>
      <c r="AI31" s="29">
        <f>SUM(AI32:AI34)</f>
        <v>0</v>
      </c>
      <c r="AJ31" s="33">
        <f>ROUND(AI31*AG31,2)</f>
        <v>0</v>
      </c>
      <c r="AK31" s="36">
        <v>0.04</v>
      </c>
      <c r="AL31" s="36">
        <v>0.04</v>
      </c>
      <c r="AM31" s="29"/>
      <c r="AN31" s="29">
        <f>SUM(AN32:AN34)</f>
        <v>5</v>
      </c>
      <c r="AO31" s="33">
        <f>ROUND(AN31*AL31,2)</f>
        <v>0.2</v>
      </c>
      <c r="AP31" s="36">
        <v>0.04</v>
      </c>
      <c r="AQ31" s="36"/>
      <c r="AR31" s="29"/>
      <c r="AS31" s="29">
        <f>SUM(AS32:AS34)</f>
        <v>0</v>
      </c>
      <c r="AT31" s="33">
        <f>ROUND(AS31*AQ31,2)</f>
        <v>0</v>
      </c>
      <c r="AU31" s="36">
        <v>0.04</v>
      </c>
      <c r="AV31" s="30"/>
      <c r="AW31" s="29"/>
      <c r="AX31" s="29">
        <f>SUM(AX32:AX34)</f>
        <v>0</v>
      </c>
      <c r="AY31" s="33">
        <f>ROUND(AX31*AV31,2)</f>
        <v>0</v>
      </c>
      <c r="AZ31" s="36">
        <v>0.04</v>
      </c>
      <c r="BA31" s="30"/>
      <c r="BB31" s="29"/>
      <c r="BC31" s="29">
        <f>SUM(BC32:BC34)</f>
        <v>0</v>
      </c>
      <c r="BD31" s="33">
        <f>ROUND(BC31*BA31,2)</f>
        <v>0</v>
      </c>
      <c r="BE31" s="36">
        <v>0.04</v>
      </c>
      <c r="BF31" s="30">
        <v>0.04</v>
      </c>
      <c r="BG31" s="29"/>
      <c r="BH31" s="29">
        <f>SUM(BH32:BH34)</f>
        <v>2</v>
      </c>
      <c r="BI31" s="33">
        <f>ROUND(BH31*BF31,2)</f>
        <v>0.08</v>
      </c>
      <c r="BJ31" s="36">
        <v>0.04</v>
      </c>
      <c r="BK31" s="36"/>
      <c r="BL31" s="29"/>
      <c r="BM31" s="29">
        <f>SUM(BM32:BM34)</f>
        <v>0</v>
      </c>
      <c r="BN31" s="33">
        <f>ROUND(BM31*BK31,2)</f>
        <v>0</v>
      </c>
      <c r="BO31" s="36">
        <v>0.04</v>
      </c>
      <c r="BP31" s="30">
        <v>0.04</v>
      </c>
      <c r="BQ31" s="29"/>
      <c r="BR31" s="29">
        <f>SUM(BR32:BR34)</f>
        <v>1.5</v>
      </c>
      <c r="BS31" s="33">
        <f>ROUND(BR31*BP31,2)</f>
        <v>0.06</v>
      </c>
    </row>
    <row r="32" spans="1:71" s="24" customFormat="1" ht="45">
      <c r="A32" s="54" t="s">
        <v>146</v>
      </c>
      <c r="B32" s="45">
        <v>0.3</v>
      </c>
      <c r="C32" s="46"/>
      <c r="D32" s="56"/>
      <c r="E32" s="56"/>
      <c r="F32" s="64"/>
      <c r="G32" s="45">
        <v>0.3</v>
      </c>
      <c r="H32" s="46"/>
      <c r="I32" s="56"/>
      <c r="J32" s="56"/>
      <c r="K32" s="64"/>
      <c r="L32" s="45">
        <v>0.3</v>
      </c>
      <c r="M32" s="46"/>
      <c r="N32" s="56"/>
      <c r="O32" s="56"/>
      <c r="P32" s="64"/>
      <c r="Q32" s="45">
        <v>0.3</v>
      </c>
      <c r="R32" s="46"/>
      <c r="S32" s="56"/>
      <c r="T32" s="56"/>
      <c r="U32" s="64"/>
      <c r="V32" s="45">
        <v>0.3</v>
      </c>
      <c r="W32" s="46">
        <v>0.3</v>
      </c>
      <c r="X32" s="19">
        <f>VLOOKUP(V6,'7.1. нал станд кач '!$A$6:$E$19,5,0)</f>
        <v>5</v>
      </c>
      <c r="Y32" s="19">
        <f t="shared" ref="Y32:Y34" si="66">ROUND(X32*W32,2)</f>
        <v>1.5</v>
      </c>
      <c r="Z32" s="47"/>
      <c r="AA32" s="45">
        <v>0.3</v>
      </c>
      <c r="AB32" s="45">
        <v>0.3</v>
      </c>
      <c r="AC32" s="19">
        <f>VLOOKUP(AA6,'7.1. нал станд кач '!$A$6:$E$19,5,0)</f>
        <v>0</v>
      </c>
      <c r="AD32" s="19">
        <f t="shared" ref="AD32:AD34" si="67">ROUND(AC32*AB32,2)</f>
        <v>0</v>
      </c>
      <c r="AE32" s="47"/>
      <c r="AF32" s="45">
        <v>0.3</v>
      </c>
      <c r="AG32" s="46"/>
      <c r="AH32" s="56"/>
      <c r="AI32" s="56"/>
      <c r="AJ32" s="64"/>
      <c r="AK32" s="45">
        <v>0.3</v>
      </c>
      <c r="AL32" s="45">
        <v>0.3</v>
      </c>
      <c r="AM32" s="19">
        <f>VLOOKUP(AK6,'7.1. нал станд кач '!$A$6:$E$19,5,0)</f>
        <v>5</v>
      </c>
      <c r="AN32" s="19">
        <f t="shared" ref="AN32:AN34" si="68">ROUND(AM32*AL32,2)</f>
        <v>1.5</v>
      </c>
      <c r="AO32" s="47"/>
      <c r="AP32" s="45">
        <v>0.3</v>
      </c>
      <c r="AQ32" s="46"/>
      <c r="AR32" s="56"/>
      <c r="AS32" s="56"/>
      <c r="AT32" s="64"/>
      <c r="AU32" s="45">
        <v>0.3</v>
      </c>
      <c r="AV32" s="46"/>
      <c r="AW32" s="56"/>
      <c r="AX32" s="56"/>
      <c r="AY32" s="64"/>
      <c r="AZ32" s="45">
        <v>0.3</v>
      </c>
      <c r="BA32" s="46"/>
      <c r="BB32" s="56"/>
      <c r="BC32" s="56"/>
      <c r="BD32" s="64"/>
      <c r="BE32" s="45">
        <v>0.3</v>
      </c>
      <c r="BF32" s="46">
        <v>0.3</v>
      </c>
      <c r="BG32" s="19">
        <f>VLOOKUP(BE6,'7.1. нал станд кач '!$A$6:$E$19,5,0)</f>
        <v>0</v>
      </c>
      <c r="BH32" s="19">
        <f t="shared" ref="BH32:BH34" si="69">ROUND(BG32*BF32,2)</f>
        <v>0</v>
      </c>
      <c r="BI32" s="47"/>
      <c r="BJ32" s="45">
        <v>0.3</v>
      </c>
      <c r="BK32" s="46"/>
      <c r="BL32" s="56"/>
      <c r="BM32" s="56"/>
      <c r="BN32" s="64"/>
      <c r="BO32" s="45">
        <v>0.3</v>
      </c>
      <c r="BP32" s="46">
        <v>0.3</v>
      </c>
      <c r="BQ32" s="19">
        <f>VLOOKUP(BO6,'7.1. нал станд кач '!$A$6:$E$19,5,0)</f>
        <v>5</v>
      </c>
      <c r="BR32" s="19">
        <f t="shared" ref="BR32:BR34" si="70">ROUND(BQ32*BP32,2)</f>
        <v>1.5</v>
      </c>
      <c r="BS32" s="47"/>
    </row>
    <row r="33" spans="1:71" s="24" customFormat="1" ht="60">
      <c r="A33" s="54" t="s">
        <v>147</v>
      </c>
      <c r="B33" s="45">
        <v>0.3</v>
      </c>
      <c r="C33" s="46"/>
      <c r="D33" s="56"/>
      <c r="E33" s="56"/>
      <c r="F33" s="64"/>
      <c r="G33" s="45">
        <v>0.3</v>
      </c>
      <c r="H33" s="46"/>
      <c r="I33" s="56"/>
      <c r="J33" s="56"/>
      <c r="K33" s="64"/>
      <c r="L33" s="45">
        <v>0.3</v>
      </c>
      <c r="M33" s="46"/>
      <c r="N33" s="56"/>
      <c r="O33" s="56"/>
      <c r="P33" s="64"/>
      <c r="Q33" s="45">
        <v>0.3</v>
      </c>
      <c r="R33" s="46"/>
      <c r="S33" s="56"/>
      <c r="T33" s="56"/>
      <c r="U33" s="64"/>
      <c r="V33" s="45">
        <v>0.3</v>
      </c>
      <c r="W33" s="46">
        <v>0.3</v>
      </c>
      <c r="X33" s="19">
        <f>VLOOKUP(V6,'7.2. пров оценки кач'!$A$6:$E$19,5,0)</f>
        <v>5</v>
      </c>
      <c r="Y33" s="19">
        <f t="shared" si="66"/>
        <v>1.5</v>
      </c>
      <c r="Z33" s="47"/>
      <c r="AA33" s="45">
        <v>0.3</v>
      </c>
      <c r="AB33" s="45">
        <v>0.3</v>
      </c>
      <c r="AC33" s="19">
        <f>VLOOKUP(AA6,'7.2. пров оценки кач'!$A$6:$E$19,5,0)</f>
        <v>0</v>
      </c>
      <c r="AD33" s="19">
        <f t="shared" si="67"/>
        <v>0</v>
      </c>
      <c r="AE33" s="47"/>
      <c r="AF33" s="45">
        <v>0.3</v>
      </c>
      <c r="AG33" s="46"/>
      <c r="AH33" s="56"/>
      <c r="AI33" s="56"/>
      <c r="AJ33" s="64"/>
      <c r="AK33" s="45">
        <v>0.3</v>
      </c>
      <c r="AL33" s="45">
        <v>0.3</v>
      </c>
      <c r="AM33" s="19">
        <f>VLOOKUP(AK6,'7.2. пров оценки кач'!$A$6:$E$19,5,0)</f>
        <v>5</v>
      </c>
      <c r="AN33" s="19">
        <f t="shared" si="68"/>
        <v>1.5</v>
      </c>
      <c r="AO33" s="47"/>
      <c r="AP33" s="45">
        <v>0.3</v>
      </c>
      <c r="AQ33" s="46"/>
      <c r="AR33" s="56"/>
      <c r="AS33" s="56"/>
      <c r="AT33" s="64"/>
      <c r="AU33" s="45">
        <v>0.3</v>
      </c>
      <c r="AV33" s="46"/>
      <c r="AW33" s="56"/>
      <c r="AX33" s="56"/>
      <c r="AY33" s="64"/>
      <c r="AZ33" s="45">
        <v>0.3</v>
      </c>
      <c r="BA33" s="46"/>
      <c r="BB33" s="56"/>
      <c r="BC33" s="56"/>
      <c r="BD33" s="64"/>
      <c r="BE33" s="45">
        <v>0.3</v>
      </c>
      <c r="BF33" s="46">
        <v>0.3</v>
      </c>
      <c r="BG33" s="19">
        <f>VLOOKUP(BE6,'7.2. пров оценки кач'!$A$6:$E$19,5,0)</f>
        <v>0</v>
      </c>
      <c r="BH33" s="19">
        <f t="shared" si="69"/>
        <v>0</v>
      </c>
      <c r="BI33" s="47"/>
      <c r="BJ33" s="45">
        <v>0.3</v>
      </c>
      <c r="BK33" s="46"/>
      <c r="BL33" s="56"/>
      <c r="BM33" s="56"/>
      <c r="BN33" s="64"/>
      <c r="BO33" s="45">
        <v>0.3</v>
      </c>
      <c r="BP33" s="46">
        <v>0.3</v>
      </c>
      <c r="BQ33" s="19">
        <f>VLOOKUP(BO6,'7.2. пров оценки кач'!$A$6:$E$19,5,0)</f>
        <v>0</v>
      </c>
      <c r="BR33" s="19">
        <f t="shared" si="70"/>
        <v>0</v>
      </c>
      <c r="BS33" s="47"/>
    </row>
    <row r="34" spans="1:71" s="24" customFormat="1" ht="75">
      <c r="A34" s="54" t="s">
        <v>148</v>
      </c>
      <c r="B34" s="45">
        <v>0.4</v>
      </c>
      <c r="C34" s="46"/>
      <c r="D34" s="56"/>
      <c r="E34" s="56"/>
      <c r="F34" s="64"/>
      <c r="G34" s="45">
        <v>0.4</v>
      </c>
      <c r="H34" s="46"/>
      <c r="I34" s="56"/>
      <c r="J34" s="56"/>
      <c r="K34" s="64"/>
      <c r="L34" s="45">
        <v>0.4</v>
      </c>
      <c r="M34" s="46"/>
      <c r="N34" s="56"/>
      <c r="O34" s="56"/>
      <c r="P34" s="64"/>
      <c r="Q34" s="45">
        <v>0.4</v>
      </c>
      <c r="R34" s="46"/>
      <c r="S34" s="56"/>
      <c r="T34" s="56"/>
      <c r="U34" s="64"/>
      <c r="V34" s="45">
        <v>0.4</v>
      </c>
      <c r="W34" s="46">
        <v>0.4</v>
      </c>
      <c r="X34" s="19">
        <f>VLOOKUP(V6,'7.3. доля мун. услуг'!$A$6:$F$19,6,0)</f>
        <v>5</v>
      </c>
      <c r="Y34" s="19">
        <f t="shared" si="66"/>
        <v>2</v>
      </c>
      <c r="Z34" s="47"/>
      <c r="AA34" s="45">
        <v>0.4</v>
      </c>
      <c r="AB34" s="45">
        <v>0.4</v>
      </c>
      <c r="AC34" s="19">
        <f>VLOOKUP(AA6,'7.3. доля мун. услуг'!$A$6:$F$19,6,0)</f>
        <v>5</v>
      </c>
      <c r="AD34" s="19">
        <f t="shared" si="67"/>
        <v>2</v>
      </c>
      <c r="AE34" s="47"/>
      <c r="AF34" s="45">
        <v>0.4</v>
      </c>
      <c r="AG34" s="46"/>
      <c r="AH34" s="56"/>
      <c r="AI34" s="56"/>
      <c r="AJ34" s="64"/>
      <c r="AK34" s="45">
        <v>0.4</v>
      </c>
      <c r="AL34" s="45">
        <v>0.4</v>
      </c>
      <c r="AM34" s="19">
        <f>VLOOKUP(AK6,'7.3. доля мун. услуг'!$A$6:$F$19,6,0)</f>
        <v>5</v>
      </c>
      <c r="AN34" s="19">
        <f t="shared" si="68"/>
        <v>2</v>
      </c>
      <c r="AO34" s="47"/>
      <c r="AP34" s="45">
        <v>0.4</v>
      </c>
      <c r="AQ34" s="46"/>
      <c r="AR34" s="56"/>
      <c r="AS34" s="56"/>
      <c r="AT34" s="64"/>
      <c r="AU34" s="45">
        <v>0.4</v>
      </c>
      <c r="AV34" s="46"/>
      <c r="AW34" s="56"/>
      <c r="AX34" s="56"/>
      <c r="AY34" s="64"/>
      <c r="AZ34" s="45">
        <v>0.4</v>
      </c>
      <c r="BA34" s="46"/>
      <c r="BB34" s="56"/>
      <c r="BC34" s="56"/>
      <c r="BD34" s="64"/>
      <c r="BE34" s="45">
        <v>0.4</v>
      </c>
      <c r="BF34" s="46">
        <v>0.4</v>
      </c>
      <c r="BG34" s="19">
        <f>VLOOKUP(BE6,'7.3. доля мун. услуг'!$A$6:$F$19,6,0)</f>
        <v>5</v>
      </c>
      <c r="BH34" s="19">
        <f t="shared" si="69"/>
        <v>2</v>
      </c>
      <c r="BI34" s="47"/>
      <c r="BJ34" s="45">
        <v>0.4</v>
      </c>
      <c r="BK34" s="46"/>
      <c r="BL34" s="56"/>
      <c r="BM34" s="56"/>
      <c r="BN34" s="64"/>
      <c r="BO34" s="45">
        <v>0.4</v>
      </c>
      <c r="BP34" s="46">
        <v>0.4</v>
      </c>
      <c r="BQ34" s="19">
        <f>VLOOKUP(BO6,'7.3. доля мун. услуг'!$A$6:$F$19,6,0)</f>
        <v>0</v>
      </c>
      <c r="BR34" s="19">
        <f t="shared" si="70"/>
        <v>0</v>
      </c>
      <c r="BS34" s="47"/>
    </row>
    <row r="35" spans="1:71" s="25" customFormat="1" ht="42.75">
      <c r="A35" s="43" t="s">
        <v>73</v>
      </c>
      <c r="B35" s="36">
        <v>0.03</v>
      </c>
      <c r="C35" s="36">
        <f>ROUND(B35*100%/96%,5)</f>
        <v>3.125E-2</v>
      </c>
      <c r="D35" s="29"/>
      <c r="E35" s="29">
        <f>E36</f>
        <v>0</v>
      </c>
      <c r="F35" s="33">
        <f>ROUND(E35*C35,2)</f>
        <v>0</v>
      </c>
      <c r="G35" s="36">
        <v>0.03</v>
      </c>
      <c r="H35" s="36">
        <f>ROUND(G35*100%/96%,5)</f>
        <v>3.125E-2</v>
      </c>
      <c r="I35" s="29"/>
      <c r="J35" s="29">
        <f>J36</f>
        <v>0</v>
      </c>
      <c r="K35" s="33">
        <f>ROUND(J35*H35,2)</f>
        <v>0</v>
      </c>
      <c r="L35" s="36">
        <v>0.03</v>
      </c>
      <c r="M35" s="36">
        <f>ROUND(L35*100%/96%,5)</f>
        <v>3.125E-2</v>
      </c>
      <c r="N35" s="29"/>
      <c r="O35" s="29">
        <f>O36</f>
        <v>0</v>
      </c>
      <c r="P35" s="33">
        <f>ROUND(O35*M35,2)</f>
        <v>0</v>
      </c>
      <c r="Q35" s="36">
        <v>0.03</v>
      </c>
      <c r="R35" s="36">
        <f>ROUND(Q35*100%/96%,5)</f>
        <v>3.125E-2</v>
      </c>
      <c r="S35" s="29"/>
      <c r="T35" s="29">
        <f>T36</f>
        <v>0</v>
      </c>
      <c r="U35" s="33">
        <f>ROUND(T35*R35,2)</f>
        <v>0</v>
      </c>
      <c r="V35" s="36">
        <v>0.03</v>
      </c>
      <c r="W35" s="30">
        <v>0.03</v>
      </c>
      <c r="X35" s="29"/>
      <c r="Y35" s="29">
        <f>Y36</f>
        <v>0</v>
      </c>
      <c r="Z35" s="33">
        <f>ROUND(Y35*W35,2)</f>
        <v>0</v>
      </c>
      <c r="AA35" s="36">
        <v>0.03</v>
      </c>
      <c r="AB35" s="36">
        <v>0.03</v>
      </c>
      <c r="AC35" s="29"/>
      <c r="AD35" s="29">
        <f>AD36</f>
        <v>0</v>
      </c>
      <c r="AE35" s="33">
        <f>ROUND(AD35*AB35,2)</f>
        <v>0</v>
      </c>
      <c r="AF35" s="36">
        <v>0.03</v>
      </c>
      <c r="AG35" s="36">
        <f>ROUND(AF35*100%/96%,5)</f>
        <v>3.125E-2</v>
      </c>
      <c r="AH35" s="29"/>
      <c r="AI35" s="29">
        <f>AI36</f>
        <v>0</v>
      </c>
      <c r="AJ35" s="33">
        <f>ROUND(AI35*AG35,2)</f>
        <v>0</v>
      </c>
      <c r="AK35" s="36">
        <v>0.03</v>
      </c>
      <c r="AL35" s="36">
        <v>0.03</v>
      </c>
      <c r="AM35" s="29"/>
      <c r="AN35" s="29">
        <f>AN36</f>
        <v>0</v>
      </c>
      <c r="AO35" s="33">
        <f>ROUND(AN35*AL35,2)</f>
        <v>0</v>
      </c>
      <c r="AP35" s="36">
        <v>0.03</v>
      </c>
      <c r="AQ35" s="36">
        <f>ROUND(AP35*100%/96%,5)</f>
        <v>3.125E-2</v>
      </c>
      <c r="AR35" s="29"/>
      <c r="AS35" s="29">
        <f>AS36</f>
        <v>0</v>
      </c>
      <c r="AT35" s="33">
        <f>ROUND(AS35*AQ35,2)</f>
        <v>0</v>
      </c>
      <c r="AU35" s="36">
        <v>0.03</v>
      </c>
      <c r="AV35" s="36">
        <f>ROUND(AU35*100%/96%,5)</f>
        <v>3.125E-2</v>
      </c>
      <c r="AW35" s="29"/>
      <c r="AX35" s="29">
        <f>AX36</f>
        <v>0</v>
      </c>
      <c r="AY35" s="33">
        <f>ROUND(AX35*AV35,2)</f>
        <v>0</v>
      </c>
      <c r="AZ35" s="36">
        <v>0.03</v>
      </c>
      <c r="BA35" s="36">
        <f>ROUND(AZ35*100%/96%,5)</f>
        <v>3.125E-2</v>
      </c>
      <c r="BB35" s="29"/>
      <c r="BC35" s="29">
        <f>BC36</f>
        <v>0</v>
      </c>
      <c r="BD35" s="33">
        <f>ROUND(BC35*BA35,2)</f>
        <v>0</v>
      </c>
      <c r="BE35" s="36">
        <v>0.03</v>
      </c>
      <c r="BF35" s="30">
        <v>0.03</v>
      </c>
      <c r="BG35" s="29"/>
      <c r="BH35" s="29">
        <f>BH36</f>
        <v>0</v>
      </c>
      <c r="BI35" s="33">
        <f>ROUND(BH35*BF35,2)</f>
        <v>0</v>
      </c>
      <c r="BJ35" s="36">
        <v>0.03</v>
      </c>
      <c r="BK35" s="36">
        <f>ROUND(BJ35*100%/96%,5)</f>
        <v>3.125E-2</v>
      </c>
      <c r="BL35" s="29"/>
      <c r="BM35" s="29">
        <f>BM36</f>
        <v>0</v>
      </c>
      <c r="BN35" s="33">
        <f>ROUND(BM35*BK35,2)</f>
        <v>0</v>
      </c>
      <c r="BO35" s="36">
        <v>0.03</v>
      </c>
      <c r="BP35" s="30">
        <v>0.03</v>
      </c>
      <c r="BQ35" s="29"/>
      <c r="BR35" s="29">
        <f>BR36</f>
        <v>0</v>
      </c>
      <c r="BS35" s="33">
        <f>ROUND(BR35*BP35,2)</f>
        <v>0</v>
      </c>
    </row>
    <row r="36" spans="1:71" s="24" customFormat="1" ht="60">
      <c r="A36" s="54" t="s">
        <v>149</v>
      </c>
      <c r="B36" s="45">
        <v>1</v>
      </c>
      <c r="C36" s="46">
        <v>1</v>
      </c>
      <c r="D36" s="19">
        <f>VLOOKUP(B6,'8.1. квалиф.сотр.фин-эк.подразд'!$A$6:$H$19,8,0)</f>
        <v>0</v>
      </c>
      <c r="E36" s="19">
        <f>ROUND(D36*C36,2)</f>
        <v>0</v>
      </c>
      <c r="F36" s="47"/>
      <c r="G36" s="45">
        <v>1</v>
      </c>
      <c r="H36" s="46">
        <v>1</v>
      </c>
      <c r="I36" s="19">
        <f>VLOOKUP(G6,'8.1. квалиф.сотр.фин-эк.подразд'!$A$6:$H$19,8,0)</f>
        <v>0</v>
      </c>
      <c r="J36" s="19">
        <f t="shared" ref="J36" si="71">ROUND(I36*H36,2)</f>
        <v>0</v>
      </c>
      <c r="K36" s="47"/>
      <c r="L36" s="45">
        <v>1</v>
      </c>
      <c r="M36" s="46">
        <v>1</v>
      </c>
      <c r="N36" s="19">
        <f>VLOOKUP(L6,'8.1. квалиф.сотр.фин-эк.подразд'!$A$6:$H$19,8,0)</f>
        <v>0</v>
      </c>
      <c r="O36" s="19">
        <f t="shared" ref="O36" si="72">ROUND(N36*M36,2)</f>
        <v>0</v>
      </c>
      <c r="P36" s="47"/>
      <c r="Q36" s="45">
        <v>1</v>
      </c>
      <c r="R36" s="46">
        <v>1</v>
      </c>
      <c r="S36" s="19">
        <f>VLOOKUP(Q6,'8.1. квалиф.сотр.фин-эк.подразд'!$A$6:$H$19,8,0)</f>
        <v>0</v>
      </c>
      <c r="T36" s="19">
        <f t="shared" ref="T36" si="73">ROUND(S36*R36,2)</f>
        <v>0</v>
      </c>
      <c r="U36" s="47"/>
      <c r="V36" s="45">
        <v>1</v>
      </c>
      <c r="W36" s="46">
        <v>1</v>
      </c>
      <c r="X36" s="19">
        <f>VLOOKUP(V6,'8.1. квалиф.сотр.фин-эк.подразд'!$A$6:$H$19,8,0)</f>
        <v>0</v>
      </c>
      <c r="Y36" s="19">
        <f t="shared" ref="Y36" si="74">ROUND(X36*W36,2)</f>
        <v>0</v>
      </c>
      <c r="Z36" s="47"/>
      <c r="AA36" s="45">
        <v>1</v>
      </c>
      <c r="AB36" s="45">
        <v>1</v>
      </c>
      <c r="AC36" s="19">
        <f>VLOOKUP(AA6,'8.1. квалиф.сотр.фин-эк.подразд'!$A$6:$H$19,8,0)</f>
        <v>0</v>
      </c>
      <c r="AD36" s="19">
        <f t="shared" ref="AD36" si="75">ROUND(AC36*AB36,2)</f>
        <v>0</v>
      </c>
      <c r="AE36" s="47"/>
      <c r="AF36" s="45">
        <v>1</v>
      </c>
      <c r="AG36" s="46">
        <v>1</v>
      </c>
      <c r="AH36" s="19">
        <f>VLOOKUP(AF6,'8.1. квалиф.сотр.фин-эк.подразд'!$A$6:$H$19,8,0)</f>
        <v>0</v>
      </c>
      <c r="AI36" s="19">
        <f t="shared" ref="AI36" si="76">ROUND(AH36*AG36,2)</f>
        <v>0</v>
      </c>
      <c r="AJ36" s="47"/>
      <c r="AK36" s="45">
        <v>1</v>
      </c>
      <c r="AL36" s="45">
        <v>1</v>
      </c>
      <c r="AM36" s="19">
        <f>VLOOKUP(AK6,'8.1. квалиф.сотр.фин-эк.подразд'!$A$6:$H$19,8,0)</f>
        <v>0</v>
      </c>
      <c r="AN36" s="19">
        <f t="shared" ref="AN36" si="77">ROUND(AM36*AL36,2)</f>
        <v>0</v>
      </c>
      <c r="AO36" s="47"/>
      <c r="AP36" s="45">
        <v>1</v>
      </c>
      <c r="AQ36" s="46">
        <v>1</v>
      </c>
      <c r="AR36" s="19">
        <f>VLOOKUP(AP6,'8.1. квалиф.сотр.фин-эк.подразд'!$A$6:$H$19,8,0)</f>
        <v>0</v>
      </c>
      <c r="AS36" s="19">
        <f t="shared" ref="AS36" si="78">ROUND(AR36*AQ36,2)</f>
        <v>0</v>
      </c>
      <c r="AT36" s="47"/>
      <c r="AU36" s="45">
        <v>1</v>
      </c>
      <c r="AV36" s="46">
        <v>1</v>
      </c>
      <c r="AW36" s="19">
        <f>VLOOKUP(AU6,'8.1. квалиф.сотр.фин-эк.подразд'!$A$6:$H$19,8,0)</f>
        <v>0</v>
      </c>
      <c r="AX36" s="19">
        <f t="shared" ref="AX36" si="79">ROUND(AW36*AV36,2)</f>
        <v>0</v>
      </c>
      <c r="AY36" s="47"/>
      <c r="AZ36" s="45">
        <v>1</v>
      </c>
      <c r="BA36" s="46">
        <v>1</v>
      </c>
      <c r="BB36" s="19">
        <f>VLOOKUP(AZ6,'8.1. квалиф.сотр.фин-эк.подразд'!$A$6:$H$19,8,0)</f>
        <v>0</v>
      </c>
      <c r="BC36" s="19">
        <f t="shared" ref="BC36" si="80">ROUND(BB36*BA36,2)</f>
        <v>0</v>
      </c>
      <c r="BD36" s="47"/>
      <c r="BE36" s="45">
        <v>1</v>
      </c>
      <c r="BF36" s="46">
        <v>1</v>
      </c>
      <c r="BG36" s="19">
        <f>VLOOKUP(BE6,'8.1. квалиф.сотр.фин-эк.подразд'!$A$6:$H$19,8,0)</f>
        <v>0</v>
      </c>
      <c r="BH36" s="19">
        <f t="shared" ref="BH36" si="81">ROUND(BG36*BF36,2)</f>
        <v>0</v>
      </c>
      <c r="BI36" s="47"/>
      <c r="BJ36" s="45">
        <v>1</v>
      </c>
      <c r="BK36" s="46">
        <v>1</v>
      </c>
      <c r="BL36" s="19">
        <f>VLOOKUP(BJ6,'8.1. квалиф.сотр.фин-эк.подразд'!$A$6:$H$19,8,0)</f>
        <v>0</v>
      </c>
      <c r="BM36" s="19">
        <f t="shared" ref="BM36" si="82">ROUND(BL36*BK36,2)</f>
        <v>0</v>
      </c>
      <c r="BN36" s="47"/>
      <c r="BO36" s="45">
        <v>1</v>
      </c>
      <c r="BP36" s="46">
        <v>1</v>
      </c>
      <c r="BQ36" s="19">
        <f>VLOOKUP(BO6,'8.1. квалиф.сотр.фин-эк.подразд'!$A$6:$H$19,8,0)</f>
        <v>0</v>
      </c>
      <c r="BR36" s="19">
        <f t="shared" ref="BR36" si="83">ROUND(BQ36*BP36,2)</f>
        <v>0</v>
      </c>
      <c r="BS36" s="47"/>
    </row>
    <row r="37" spans="1:71" s="25" customFormat="1" thickBot="1">
      <c r="A37" s="44" t="s">
        <v>92</v>
      </c>
      <c r="B37" s="37">
        <f>B8+B11+B18+B21+B23+B27+B31+B35</f>
        <v>1</v>
      </c>
      <c r="C37" s="38">
        <f>C8+C11+C18+C21+C23+C27+C31+C35</f>
        <v>0.99999999999999989</v>
      </c>
      <c r="D37" s="39"/>
      <c r="E37" s="39"/>
      <c r="F37" s="40">
        <f>SUM(F8:F36)</f>
        <v>3.8500000000000005</v>
      </c>
      <c r="G37" s="37">
        <f>G8+G11+G18+G21+G23+G27+G31+G35</f>
        <v>1</v>
      </c>
      <c r="H37" s="38">
        <f>H8+H11+H18+H21+H23+H27+H31+H35</f>
        <v>0.99999999999999989</v>
      </c>
      <c r="I37" s="39"/>
      <c r="J37" s="39"/>
      <c r="K37" s="40">
        <f>SUM(K8:K36)</f>
        <v>3.08</v>
      </c>
      <c r="L37" s="37">
        <f>L8+L11+L18+L21+L23+L27+L31+L35</f>
        <v>1</v>
      </c>
      <c r="M37" s="38">
        <f>M8+M11+M18+M21+M23+M27+M31+M35</f>
        <v>0.99999999999999989</v>
      </c>
      <c r="N37" s="39"/>
      <c r="O37" s="39"/>
      <c r="P37" s="40">
        <f>SUM(P8:P36)</f>
        <v>3.96</v>
      </c>
      <c r="Q37" s="37">
        <f>Q8+Q11+Q18+Q21+Q23+Q27+Q31+Q35</f>
        <v>1</v>
      </c>
      <c r="R37" s="38">
        <f>R8+R11+R18+R21+R23+R27+R31+R35</f>
        <v>0.99999999999999989</v>
      </c>
      <c r="S37" s="39"/>
      <c r="T37" s="39"/>
      <c r="U37" s="40">
        <f>SUM(U8:U36)</f>
        <v>3.66</v>
      </c>
      <c r="V37" s="37">
        <f>V8+V11+V18+V21+V23+V27+V31+V35</f>
        <v>1</v>
      </c>
      <c r="W37" s="38">
        <f>W8+W11+W18+W21+W23+W27+W31+W35</f>
        <v>1</v>
      </c>
      <c r="X37" s="39"/>
      <c r="Y37" s="39"/>
      <c r="Z37" s="40">
        <f>SUM(Z8:Z36)</f>
        <v>4.5100000000000007</v>
      </c>
      <c r="AA37" s="37">
        <f>AA8+AA11+AA18+AA21+AA23+AA27+AA31+AA35</f>
        <v>1</v>
      </c>
      <c r="AB37" s="38">
        <f>AB8+AB11+AB18+AB21+AB23+AB27+AB31+AB35</f>
        <v>1</v>
      </c>
      <c r="AC37" s="39"/>
      <c r="AD37" s="39"/>
      <c r="AE37" s="40">
        <f>SUM(AE8:AE36)</f>
        <v>4.24</v>
      </c>
      <c r="AF37" s="37">
        <f>AF8+AF11+AF18+AF21+AF23+AF27+AF31+AF35</f>
        <v>1</v>
      </c>
      <c r="AG37" s="38">
        <f>AG8+AG11+AG18+AG21+AG23+AG27+AG31+AG35</f>
        <v>0.99999999999999989</v>
      </c>
      <c r="AH37" s="39"/>
      <c r="AI37" s="39"/>
      <c r="AJ37" s="40">
        <f>SUM(AJ8:AJ36)</f>
        <v>4.7299999999999995</v>
      </c>
      <c r="AK37" s="37">
        <f>AK8+AK11+AK18+AK21+AK23+AK27+AK31+AK35</f>
        <v>1</v>
      </c>
      <c r="AL37" s="38">
        <f>AL8+AL11+AL18+AL21+AL23+AL27+AL31+AL35</f>
        <v>1</v>
      </c>
      <c r="AM37" s="39"/>
      <c r="AN37" s="39"/>
      <c r="AO37" s="40">
        <f>SUM(AO8:AO36)</f>
        <v>4.24</v>
      </c>
      <c r="AP37" s="37">
        <f>AP8+AP11+AP18+AP21+AP23+AP27+AP31+AP35</f>
        <v>1</v>
      </c>
      <c r="AQ37" s="38">
        <f>AQ8+AQ11+AQ18+AQ21+AQ23+AQ27+AQ31+AQ35</f>
        <v>0.99999999999999989</v>
      </c>
      <c r="AR37" s="39"/>
      <c r="AS37" s="39"/>
      <c r="AT37" s="40">
        <f>SUM(AT8:AT36)</f>
        <v>4.4000000000000004</v>
      </c>
      <c r="AU37" s="37">
        <f>AU8+AU11+AU18+AU21+AU23+AU27+AU31+AU35</f>
        <v>1</v>
      </c>
      <c r="AV37" s="38">
        <f>AV8+AV11+AV18+AV21+AV23+AV27+AV31+AV35</f>
        <v>0.99999999999999989</v>
      </c>
      <c r="AW37" s="39"/>
      <c r="AX37" s="39"/>
      <c r="AY37" s="40">
        <f>SUM(AY8:AY36)</f>
        <v>4.5600000000000005</v>
      </c>
      <c r="AZ37" s="37">
        <f>AZ8+AZ11+AZ18+AZ21+AZ23+AZ27+AZ31+AZ35</f>
        <v>1</v>
      </c>
      <c r="BA37" s="38">
        <f>BA8+BA11+BA18+BA21+BA23+BA27+BA31+BA35</f>
        <v>0.99999999999999989</v>
      </c>
      <c r="BB37" s="39"/>
      <c r="BC37" s="39"/>
      <c r="BD37" s="40">
        <f>SUM(BD8:BD36)</f>
        <v>3.4500000000000006</v>
      </c>
      <c r="BE37" s="37">
        <f>BE8+BE11+BE18+BE21+BE23+BE27+BE31+BE35</f>
        <v>1</v>
      </c>
      <c r="BF37" s="38">
        <f>BF8+BF11+BF18+BF21+BF23+BF27+BF31+BF35</f>
        <v>0.90000000000000013</v>
      </c>
      <c r="BG37" s="39"/>
      <c r="BH37" s="39"/>
      <c r="BI37" s="40">
        <f>SUM(BI8:BI36)</f>
        <v>2.84</v>
      </c>
      <c r="BJ37" s="37">
        <f>BJ8+BJ11+BJ18+BJ21+BJ23+BJ27+BJ31+BJ35</f>
        <v>1</v>
      </c>
      <c r="BK37" s="38">
        <f>BK8+BK11+BK18+BK21+BK23+BK27+BK31+BK35</f>
        <v>0.99999999999999989</v>
      </c>
      <c r="BL37" s="39"/>
      <c r="BM37" s="39"/>
      <c r="BN37" s="40">
        <f>SUM(BN8:BN36)</f>
        <v>3.33</v>
      </c>
      <c r="BO37" s="37">
        <f>BO8+BO11+BO18+BO21+BO23+BO27+BO31+BO35</f>
        <v>1</v>
      </c>
      <c r="BP37" s="38">
        <f>BP8+BP11+BP18+BP21+BP23+BP27+BP31+BP35</f>
        <v>0.90000000000000013</v>
      </c>
      <c r="BQ37" s="39"/>
      <c r="BR37" s="39"/>
      <c r="BS37" s="40">
        <f>SUM(BS8:BS36)</f>
        <v>3.6700000000000004</v>
      </c>
    </row>
    <row r="39" spans="1:71">
      <c r="AF39" s="5">
        <f>15+4</f>
        <v>19</v>
      </c>
    </row>
    <row r="40" spans="1:71">
      <c r="AF40" s="5">
        <f>100-19</f>
        <v>81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Z6:BD6"/>
    <mergeCell ref="BE6:BI6"/>
    <mergeCell ref="BJ6:BN6"/>
    <mergeCell ref="BO6:BS6"/>
    <mergeCell ref="B6:F6"/>
    <mergeCell ref="G6:K6"/>
    <mergeCell ref="L6:P6"/>
    <mergeCell ref="Q6:U6"/>
    <mergeCell ref="V6:Z6"/>
    <mergeCell ref="AA6:AE6"/>
    <mergeCell ref="AF6:AJ6"/>
    <mergeCell ref="AK6:AO6"/>
    <mergeCell ref="AP6:AT6"/>
    <mergeCell ref="AU6:AY6"/>
  </mergeCells>
  <pageMargins left="0.19685039370078741" right="0.19685039370078741" top="0.35433070866141736" bottom="0.19685039370078741" header="0.15748031496062992" footer="0.15748031496062992"/>
  <pageSetup paperSize="9" scale="61" orientation="portrait" r:id="rId1"/>
  <colBreaks count="13" manualBreakCount="13">
    <brk id="6" max="37" man="1"/>
    <brk id="11" max="1048575" man="1"/>
    <brk id="16" max="1048575" man="1"/>
    <brk id="21" max="1048575" man="1"/>
    <brk id="26" max="1048575" man="1"/>
    <brk id="31" max="1048575" man="1"/>
    <brk id="36" max="1048575" man="1"/>
    <brk id="41" max="1048575" man="1"/>
    <brk id="46" max="1048575" man="1"/>
    <brk id="51" max="1048575" man="1"/>
    <brk id="56" max="1048575" man="1"/>
    <brk id="61" max="1048575" man="1"/>
    <brk id="6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>
    <tabColor rgb="FFFFFF00"/>
  </sheetPr>
  <dimension ref="A2:J26"/>
  <sheetViews>
    <sheetView view="pageBreakPreview" zoomScale="83" zoomScaleNormal="75" zoomScaleSheetLayoutView="83" workbookViewId="0">
      <selection activeCell="A22" sqref="A22:F22"/>
    </sheetView>
  </sheetViews>
  <sheetFormatPr defaultColWidth="9.140625" defaultRowHeight="15"/>
  <cols>
    <col min="1" max="1" width="8.42578125" style="7" customWidth="1"/>
    <col min="2" max="2" width="41.140625" style="5" customWidth="1"/>
    <col min="3" max="3" width="24.85546875" style="5" customWidth="1"/>
    <col min="4" max="4" width="29.42578125" style="5" customWidth="1"/>
    <col min="5" max="5" width="15.42578125" style="5" customWidth="1"/>
    <col min="6" max="6" width="13.140625" style="5" customWidth="1"/>
    <col min="7" max="9" width="9.140625" style="5"/>
    <col min="10" max="10" width="15.7109375" style="5" customWidth="1"/>
    <col min="11" max="16384" width="9.140625" style="5"/>
  </cols>
  <sheetData>
    <row r="2" spans="1:10" ht="47.25" customHeight="1">
      <c r="A2" s="124" t="s">
        <v>78</v>
      </c>
      <c r="B2" s="124"/>
      <c r="C2" s="124"/>
      <c r="D2" s="124"/>
      <c r="E2" s="124"/>
      <c r="F2" s="124"/>
    </row>
    <row r="3" spans="1:10" ht="20.25">
      <c r="A3" s="9"/>
      <c r="B3" s="9"/>
      <c r="C3" s="9"/>
      <c r="D3" s="9"/>
      <c r="E3" s="9"/>
      <c r="F3" s="9"/>
    </row>
    <row r="4" spans="1:10" s="8" customFormat="1" ht="20.25">
      <c r="A4" s="116" t="s">
        <v>0</v>
      </c>
      <c r="B4" s="116"/>
      <c r="C4" s="116"/>
      <c r="D4" s="116"/>
      <c r="E4" s="116"/>
      <c r="F4" s="116"/>
    </row>
    <row r="5" spans="1:10" ht="97.15" customHeight="1">
      <c r="A5" s="117" t="s">
        <v>16</v>
      </c>
      <c r="B5" s="117"/>
      <c r="C5" s="117"/>
      <c r="D5" s="117"/>
      <c r="E5" s="117"/>
      <c r="F5" s="117"/>
    </row>
    <row r="7" spans="1:10">
      <c r="A7" s="65"/>
      <c r="F7" s="18" t="s">
        <v>150</v>
      </c>
    </row>
    <row r="8" spans="1:10" ht="207" customHeight="1">
      <c r="A8" s="4" t="s">
        <v>11</v>
      </c>
      <c r="B8" s="4" t="s">
        <v>12</v>
      </c>
      <c r="C8" s="77" t="s">
        <v>13</v>
      </c>
      <c r="D8" s="77" t="s">
        <v>14</v>
      </c>
      <c r="E8" s="77" t="s">
        <v>38</v>
      </c>
      <c r="F8" s="4" t="s">
        <v>15</v>
      </c>
    </row>
    <row r="9" spans="1:10">
      <c r="A9" s="2">
        <v>601</v>
      </c>
      <c r="B9" s="2" t="s">
        <v>1</v>
      </c>
      <c r="C9" s="85">
        <v>15144104.5</v>
      </c>
      <c r="D9" s="85">
        <v>211546897.81</v>
      </c>
      <c r="E9" s="68">
        <f t="shared" ref="E9:E22" si="0">ROUND(C9/D9*100,2)</f>
        <v>7.16</v>
      </c>
      <c r="F9" s="68">
        <v>3</v>
      </c>
      <c r="I9" s="71">
        <v>601</v>
      </c>
      <c r="J9" s="72">
        <v>211546897.81</v>
      </c>
    </row>
    <row r="10" spans="1:10" ht="30">
      <c r="A10" s="1">
        <v>602</v>
      </c>
      <c r="B10" s="1" t="s">
        <v>2</v>
      </c>
      <c r="C10" s="85">
        <v>1671070.25</v>
      </c>
      <c r="D10" s="85">
        <v>82707740.969999999</v>
      </c>
      <c r="E10" s="68">
        <f t="shared" si="0"/>
        <v>2.02</v>
      </c>
      <c r="F10" s="68">
        <v>5</v>
      </c>
      <c r="I10" s="71">
        <v>602</v>
      </c>
      <c r="J10" s="72">
        <v>82707740.969999999</v>
      </c>
    </row>
    <row r="11" spans="1:10" ht="30">
      <c r="A11" s="1">
        <v>604</v>
      </c>
      <c r="B11" s="1" t="s">
        <v>3</v>
      </c>
      <c r="C11" s="85">
        <v>438923.37</v>
      </c>
      <c r="D11" s="85">
        <v>38588999.740000002</v>
      </c>
      <c r="E11" s="68">
        <f t="shared" si="0"/>
        <v>1.1399999999999999</v>
      </c>
      <c r="F11" s="68">
        <v>5</v>
      </c>
      <c r="I11" s="71">
        <v>604</v>
      </c>
      <c r="J11" s="72">
        <v>38588999.740000002</v>
      </c>
    </row>
    <row r="12" spans="1:10" ht="30" customHeight="1">
      <c r="A12" s="1">
        <v>605</v>
      </c>
      <c r="B12" s="1" t="s">
        <v>4</v>
      </c>
      <c r="C12" s="85">
        <v>501676.79000000004</v>
      </c>
      <c r="D12" s="85">
        <v>27872462.370000001</v>
      </c>
      <c r="E12" s="68">
        <f t="shared" si="0"/>
        <v>1.8</v>
      </c>
      <c r="F12" s="68">
        <v>5</v>
      </c>
      <c r="I12" s="71">
        <v>605</v>
      </c>
      <c r="J12" s="72">
        <v>27872462.370000001</v>
      </c>
    </row>
    <row r="13" spans="1:10" ht="30">
      <c r="A13" s="1">
        <v>606</v>
      </c>
      <c r="B13" s="1" t="s">
        <v>167</v>
      </c>
      <c r="C13" s="85">
        <v>105746170.11999997</v>
      </c>
      <c r="D13" s="85">
        <v>1409217011.9100001</v>
      </c>
      <c r="E13" s="68">
        <f t="shared" si="0"/>
        <v>7.5</v>
      </c>
      <c r="F13" s="68">
        <v>3</v>
      </c>
      <c r="I13" s="71">
        <v>606</v>
      </c>
      <c r="J13" s="72">
        <v>1409217011.9100001</v>
      </c>
    </row>
    <row r="14" spans="1:10" ht="30">
      <c r="A14" s="1">
        <v>607</v>
      </c>
      <c r="B14" s="1" t="s">
        <v>168</v>
      </c>
      <c r="C14" s="85">
        <v>6582258.8300000001</v>
      </c>
      <c r="D14" s="85">
        <v>289278589.94</v>
      </c>
      <c r="E14" s="68">
        <f t="shared" si="0"/>
        <v>2.2799999999999998</v>
      </c>
      <c r="F14" s="68">
        <v>5</v>
      </c>
      <c r="I14" s="71">
        <v>607</v>
      </c>
      <c r="J14" s="72">
        <v>289278589.94</v>
      </c>
    </row>
    <row r="15" spans="1:10" ht="45">
      <c r="A15" s="1">
        <v>609</v>
      </c>
      <c r="B15" s="1" t="s">
        <v>169</v>
      </c>
      <c r="C15" s="85">
        <v>2716693.3899999997</v>
      </c>
      <c r="D15" s="85">
        <v>84626162.170000002</v>
      </c>
      <c r="E15" s="68">
        <f t="shared" si="0"/>
        <v>3.21</v>
      </c>
      <c r="F15" s="68">
        <v>4</v>
      </c>
      <c r="I15" s="71">
        <v>609</v>
      </c>
      <c r="J15" s="72">
        <v>84626162.170000002</v>
      </c>
    </row>
    <row r="16" spans="1:10" ht="45">
      <c r="A16" s="1">
        <v>611</v>
      </c>
      <c r="B16" s="1" t="s">
        <v>170</v>
      </c>
      <c r="C16" s="85">
        <v>16477469.840000002</v>
      </c>
      <c r="D16" s="85">
        <v>202104617.83000001</v>
      </c>
      <c r="E16" s="68">
        <f t="shared" si="0"/>
        <v>8.15</v>
      </c>
      <c r="F16" s="68">
        <v>3</v>
      </c>
      <c r="I16" s="71">
        <v>611</v>
      </c>
      <c r="J16" s="72">
        <v>202104617.83000001</v>
      </c>
    </row>
    <row r="17" spans="1:10" ht="30">
      <c r="A17" s="1">
        <v>617</v>
      </c>
      <c r="B17" s="1" t="s">
        <v>6</v>
      </c>
      <c r="C17" s="85">
        <v>2593966.41</v>
      </c>
      <c r="D17" s="85">
        <v>101105583.01000001</v>
      </c>
      <c r="E17" s="68">
        <f t="shared" si="0"/>
        <v>2.57</v>
      </c>
      <c r="F17" s="68">
        <v>5</v>
      </c>
      <c r="I17" s="71">
        <v>617</v>
      </c>
      <c r="J17" s="72">
        <v>101105583.01000001</v>
      </c>
    </row>
    <row r="18" spans="1:10" ht="30">
      <c r="A18" s="1">
        <v>618</v>
      </c>
      <c r="B18" s="1" t="s">
        <v>7</v>
      </c>
      <c r="C18" s="85">
        <v>2139269.0099999998</v>
      </c>
      <c r="D18" s="85">
        <v>93293375.530000001</v>
      </c>
      <c r="E18" s="68">
        <f t="shared" si="0"/>
        <v>2.29</v>
      </c>
      <c r="F18" s="68">
        <v>5</v>
      </c>
      <c r="I18" s="71">
        <v>618</v>
      </c>
      <c r="J18" s="72">
        <v>93293375.530000001</v>
      </c>
    </row>
    <row r="19" spans="1:10" ht="30">
      <c r="A19" s="1">
        <v>619</v>
      </c>
      <c r="B19" s="1" t="s">
        <v>8</v>
      </c>
      <c r="C19" s="85">
        <v>1880570.4799999997</v>
      </c>
      <c r="D19" s="85">
        <v>157534440.15000001</v>
      </c>
      <c r="E19" s="68">
        <f t="shared" si="0"/>
        <v>1.19</v>
      </c>
      <c r="F19" s="68">
        <v>5</v>
      </c>
      <c r="I19" s="71">
        <v>619</v>
      </c>
      <c r="J19" s="72">
        <v>157534440.15000001</v>
      </c>
    </row>
    <row r="20" spans="1:10" ht="30">
      <c r="A20" s="1">
        <v>620</v>
      </c>
      <c r="B20" s="1" t="s">
        <v>9</v>
      </c>
      <c r="C20" s="85">
        <v>187902358.44999996</v>
      </c>
      <c r="D20" s="85">
        <v>673916373.5</v>
      </c>
      <c r="E20" s="68">
        <f t="shared" si="0"/>
        <v>27.88</v>
      </c>
      <c r="F20" s="68">
        <v>1</v>
      </c>
      <c r="I20" s="71">
        <v>620</v>
      </c>
      <c r="J20" s="72">
        <v>673916373.5</v>
      </c>
    </row>
    <row r="21" spans="1:10" ht="30">
      <c r="A21" s="1">
        <v>621</v>
      </c>
      <c r="B21" s="1" t="s">
        <v>10</v>
      </c>
      <c r="C21" s="85">
        <v>79130998.030000001</v>
      </c>
      <c r="D21" s="85">
        <v>190401619.80000001</v>
      </c>
      <c r="E21" s="68">
        <f t="shared" si="0"/>
        <v>41.56</v>
      </c>
      <c r="F21" s="68">
        <v>0</v>
      </c>
      <c r="I21" s="71">
        <v>621</v>
      </c>
      <c r="J21" s="72">
        <v>190401619.80000001</v>
      </c>
    </row>
    <row r="22" spans="1:10" ht="45">
      <c r="A22" s="1">
        <v>624</v>
      </c>
      <c r="B22" s="1" t="s">
        <v>171</v>
      </c>
      <c r="C22" s="85">
        <v>2122785.06</v>
      </c>
      <c r="D22" s="85">
        <v>96688592.489999995</v>
      </c>
      <c r="E22" s="68">
        <f t="shared" si="0"/>
        <v>2.2000000000000002</v>
      </c>
      <c r="F22" s="68">
        <v>5</v>
      </c>
      <c r="I22" s="71">
        <v>624</v>
      </c>
      <c r="J22" s="72">
        <v>96688592.489999995</v>
      </c>
    </row>
    <row r="23" spans="1:10" ht="15.75" thickBot="1">
      <c r="C23" s="20">
        <f>SUM(C9:C22)</f>
        <v>425048314.52999991</v>
      </c>
      <c r="D23" s="20">
        <f>SUM(D9:D22)</f>
        <v>3658882467.2200007</v>
      </c>
      <c r="J23" s="60">
        <f>SUM(J9:J22)</f>
        <v>3658882467.2200007</v>
      </c>
    </row>
    <row r="24" spans="1:10">
      <c r="D24" s="5" t="s">
        <v>164</v>
      </c>
      <c r="J24" s="73">
        <v>62425457.030000001</v>
      </c>
    </row>
    <row r="25" spans="1:10">
      <c r="D25" s="20">
        <f>D23-J26+2880530.84+1481104.3</f>
        <v>1.0870862752199173E-6</v>
      </c>
      <c r="J25" s="5">
        <v>3725669559.3899999</v>
      </c>
    </row>
    <row r="26" spans="1:10">
      <c r="J26" s="70">
        <f>J25-J24</f>
        <v>3663244102.3599997</v>
      </c>
    </row>
  </sheetData>
  <sheetProtection formatCells="0" formatColumns="0" formatRows="0" insertColumns="0" insertRows="0" insertHyperlinks="0" deleteColumns="0" deleteRows="0" sort="0" autoFilter="0" pivotTables="0"/>
  <sortState ref="A9:F26">
    <sortCondition ref="A9"/>
  </sortState>
  <mergeCells count="3">
    <mergeCell ref="A4:F4"/>
    <mergeCell ref="A5:F5"/>
    <mergeCell ref="A2:F2"/>
  </mergeCells>
  <pageMargins left="0.35433070866141736" right="0.19685039370078741" top="0.74803149606299213" bottom="0.74803149606299213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>
    <tabColor rgb="FF99FF99"/>
  </sheetPr>
  <dimension ref="A1:H23"/>
  <sheetViews>
    <sheetView view="pageBreakPreview" topLeftCell="A4" zoomScale="84" zoomScaleNormal="75" zoomScaleSheetLayoutView="84" workbookViewId="0">
      <selection activeCell="G8" sqref="G8"/>
    </sheetView>
  </sheetViews>
  <sheetFormatPr defaultColWidth="9.140625" defaultRowHeight="15"/>
  <cols>
    <col min="1" max="1" width="8.42578125" style="88" customWidth="1"/>
    <col min="2" max="2" width="41.140625" style="87" customWidth="1"/>
    <col min="3" max="4" width="23.5703125" style="87" customWidth="1"/>
    <col min="5" max="5" width="18" style="87" customWidth="1"/>
    <col min="6" max="6" width="23.5703125" style="87" customWidth="1"/>
    <col min="7" max="7" width="21.5703125" style="87" customWidth="1"/>
    <col min="8" max="8" width="13.140625" style="87" customWidth="1"/>
    <col min="9" max="16384" width="9.140625" style="87"/>
  </cols>
  <sheetData>
    <row r="1" spans="1:8" s="86" customFormat="1" ht="20.25">
      <c r="A1" s="125" t="s">
        <v>0</v>
      </c>
      <c r="B1" s="125"/>
      <c r="C1" s="125"/>
      <c r="D1" s="125"/>
      <c r="E1" s="125"/>
      <c r="F1" s="125"/>
      <c r="G1" s="125"/>
      <c r="H1" s="125"/>
    </row>
    <row r="2" spans="1:8" ht="19.5">
      <c r="A2" s="126" t="s">
        <v>103</v>
      </c>
      <c r="B2" s="126"/>
      <c r="C2" s="126"/>
      <c r="D2" s="126"/>
      <c r="E2" s="126"/>
      <c r="F2" s="126"/>
      <c r="G2" s="126"/>
      <c r="H2" s="126"/>
    </row>
    <row r="3" spans="1:8">
      <c r="C3" s="88"/>
      <c r="D3" s="88"/>
      <c r="E3" s="88"/>
      <c r="F3" s="88"/>
    </row>
    <row r="4" spans="1:8">
      <c r="H4" s="89" t="s">
        <v>150</v>
      </c>
    </row>
    <row r="5" spans="1:8" ht="195">
      <c r="A5" s="77" t="s">
        <v>11</v>
      </c>
      <c r="B5" s="77" t="s">
        <v>12</v>
      </c>
      <c r="C5" s="77" t="s">
        <v>175</v>
      </c>
      <c r="D5" s="77" t="s">
        <v>106</v>
      </c>
      <c r="E5" s="77" t="s">
        <v>104</v>
      </c>
      <c r="F5" s="77" t="s">
        <v>105</v>
      </c>
      <c r="G5" s="77" t="s">
        <v>107</v>
      </c>
      <c r="H5" s="77" t="s">
        <v>15</v>
      </c>
    </row>
    <row r="6" spans="1:8">
      <c r="A6" s="90">
        <v>601</v>
      </c>
      <c r="B6" s="90" t="s">
        <v>1</v>
      </c>
      <c r="C6" s="91">
        <v>79043299.460000008</v>
      </c>
      <c r="D6" s="91">
        <v>222716283.15000001</v>
      </c>
      <c r="E6" s="91">
        <v>11169385.34</v>
      </c>
      <c r="F6" s="91">
        <f t="shared" ref="F6:F19" si="0">D6-E6</f>
        <v>211546897.81</v>
      </c>
      <c r="G6" s="68">
        <f t="shared" ref="G6:G19" si="1">ROUND(C6/F6*100,2)</f>
        <v>37.36</v>
      </c>
      <c r="H6" s="68">
        <v>4</v>
      </c>
    </row>
    <row r="7" spans="1:8" ht="30">
      <c r="A7" s="69">
        <v>602</v>
      </c>
      <c r="B7" s="69" t="s">
        <v>2</v>
      </c>
      <c r="C7" s="91">
        <v>26439235.600000001</v>
      </c>
      <c r="D7" s="91">
        <v>84077700.969999999</v>
      </c>
      <c r="E7" s="91">
        <v>1369960</v>
      </c>
      <c r="F7" s="91">
        <f t="shared" si="0"/>
        <v>82707740.969999999</v>
      </c>
      <c r="G7" s="68">
        <f t="shared" si="1"/>
        <v>31.97</v>
      </c>
      <c r="H7" s="68">
        <v>3</v>
      </c>
    </row>
    <row r="8" spans="1:8" ht="30">
      <c r="A8" s="69">
        <v>604</v>
      </c>
      <c r="B8" s="69" t="s">
        <v>3</v>
      </c>
      <c r="C8" s="91">
        <f>7203461.29+6160190</f>
        <v>13363651.289999999</v>
      </c>
      <c r="D8" s="91">
        <v>39736529.740000002</v>
      </c>
      <c r="E8" s="91">
        <v>1147530</v>
      </c>
      <c r="F8" s="91">
        <f>D8-E8+6160190</f>
        <v>44749189.740000002</v>
      </c>
      <c r="G8" s="68">
        <f t="shared" si="1"/>
        <v>29.86</v>
      </c>
      <c r="H8" s="68">
        <v>3</v>
      </c>
    </row>
    <row r="9" spans="1:8" ht="30" customHeight="1">
      <c r="A9" s="69">
        <v>605</v>
      </c>
      <c r="B9" s="69" t="s">
        <v>4</v>
      </c>
      <c r="C9" s="91">
        <v>4277990.3</v>
      </c>
      <c r="D9" s="91">
        <v>28733652.370000001</v>
      </c>
      <c r="E9" s="91">
        <v>861190</v>
      </c>
      <c r="F9" s="91">
        <f t="shared" si="0"/>
        <v>27872462.370000001</v>
      </c>
      <c r="G9" s="68">
        <f t="shared" si="1"/>
        <v>15.35</v>
      </c>
      <c r="H9" s="68">
        <v>2</v>
      </c>
    </row>
    <row r="10" spans="1:8" ht="30">
      <c r="A10" s="69">
        <v>606</v>
      </c>
      <c r="B10" s="69" t="s">
        <v>167</v>
      </c>
      <c r="C10" s="91">
        <v>1380776096.2</v>
      </c>
      <c r="D10" s="91">
        <v>3153782367.9099998</v>
      </c>
      <c r="E10" s="91">
        <v>1744565356</v>
      </c>
      <c r="F10" s="91">
        <f t="shared" si="0"/>
        <v>1409217011.9099998</v>
      </c>
      <c r="G10" s="68">
        <f t="shared" si="1"/>
        <v>97.98</v>
      </c>
      <c r="H10" s="68">
        <v>5</v>
      </c>
    </row>
    <row r="11" spans="1:8" ht="30">
      <c r="A11" s="69">
        <v>607</v>
      </c>
      <c r="B11" s="69" t="s">
        <v>168</v>
      </c>
      <c r="C11" s="91">
        <v>278180831.27999997</v>
      </c>
      <c r="D11" s="91">
        <v>298894239.94</v>
      </c>
      <c r="E11" s="91">
        <v>9615650</v>
      </c>
      <c r="F11" s="91">
        <f t="shared" si="0"/>
        <v>289278589.94</v>
      </c>
      <c r="G11" s="68">
        <f t="shared" si="1"/>
        <v>96.16</v>
      </c>
      <c r="H11" s="68">
        <v>5</v>
      </c>
    </row>
    <row r="12" spans="1:8" ht="45">
      <c r="A12" s="69">
        <v>609</v>
      </c>
      <c r="B12" s="69" t="s">
        <v>169</v>
      </c>
      <c r="C12" s="91">
        <v>77395983.409999996</v>
      </c>
      <c r="D12" s="91">
        <v>1786245915.3399999</v>
      </c>
      <c r="E12" s="91">
        <v>1701619753.1700001</v>
      </c>
      <c r="F12" s="91">
        <f t="shared" si="0"/>
        <v>84626162.169999838</v>
      </c>
      <c r="G12" s="68">
        <f t="shared" si="1"/>
        <v>91.46</v>
      </c>
      <c r="H12" s="68">
        <v>5</v>
      </c>
    </row>
    <row r="13" spans="1:8" ht="45">
      <c r="A13" s="69">
        <v>611</v>
      </c>
      <c r="B13" s="69" t="s">
        <v>170</v>
      </c>
      <c r="C13" s="91">
        <v>191171585.83000001</v>
      </c>
      <c r="D13" s="91">
        <v>203838737.83000001</v>
      </c>
      <c r="E13" s="91">
        <v>1734120</v>
      </c>
      <c r="F13" s="91">
        <f t="shared" si="0"/>
        <v>202104617.83000001</v>
      </c>
      <c r="G13" s="68">
        <f t="shared" si="1"/>
        <v>94.59</v>
      </c>
      <c r="H13" s="68">
        <v>5</v>
      </c>
    </row>
    <row r="14" spans="1:8" ht="30">
      <c r="A14" s="69">
        <v>617</v>
      </c>
      <c r="B14" s="69" t="s">
        <v>6</v>
      </c>
      <c r="C14" s="91">
        <v>74850662.849999994</v>
      </c>
      <c r="D14" s="91">
        <v>112037903.01000001</v>
      </c>
      <c r="E14" s="91">
        <v>10932320</v>
      </c>
      <c r="F14" s="91">
        <f t="shared" si="0"/>
        <v>101105583.01000001</v>
      </c>
      <c r="G14" s="68">
        <f t="shared" si="1"/>
        <v>74.03</v>
      </c>
      <c r="H14" s="68">
        <v>5</v>
      </c>
    </row>
    <row r="15" spans="1:8" ht="30">
      <c r="A15" s="69">
        <v>618</v>
      </c>
      <c r="B15" s="69" t="s">
        <v>7</v>
      </c>
      <c r="C15" s="91">
        <v>68096829.840000004</v>
      </c>
      <c r="D15" s="91">
        <v>102974662.89</v>
      </c>
      <c r="E15" s="91">
        <v>9681287.3599999994</v>
      </c>
      <c r="F15" s="91">
        <f t="shared" si="0"/>
        <v>93293375.530000001</v>
      </c>
      <c r="G15" s="68">
        <f t="shared" si="1"/>
        <v>72.989999999999995</v>
      </c>
      <c r="H15" s="68">
        <v>5</v>
      </c>
    </row>
    <row r="16" spans="1:8" ht="30">
      <c r="A16" s="69">
        <v>619</v>
      </c>
      <c r="B16" s="69" t="s">
        <v>8</v>
      </c>
      <c r="C16" s="91">
        <v>121148231.12</v>
      </c>
      <c r="D16" s="91">
        <v>162274660.15000001</v>
      </c>
      <c r="E16" s="91">
        <v>4740220</v>
      </c>
      <c r="F16" s="91">
        <f t="shared" si="0"/>
        <v>157534440.15000001</v>
      </c>
      <c r="G16" s="68">
        <f t="shared" si="1"/>
        <v>76.900000000000006</v>
      </c>
      <c r="H16" s="68">
        <v>5</v>
      </c>
    </row>
    <row r="17" spans="1:8" ht="30">
      <c r="A17" s="69">
        <v>620</v>
      </c>
      <c r="B17" s="69" t="s">
        <v>9</v>
      </c>
      <c r="C17" s="91">
        <v>602760388.54999995</v>
      </c>
      <c r="D17" s="91">
        <v>1428702755.6199999</v>
      </c>
      <c r="E17" s="91">
        <v>754786382.12</v>
      </c>
      <c r="F17" s="91">
        <f t="shared" si="0"/>
        <v>673916373.49999988</v>
      </c>
      <c r="G17" s="68">
        <f t="shared" si="1"/>
        <v>89.44</v>
      </c>
      <c r="H17" s="68">
        <v>5</v>
      </c>
    </row>
    <row r="18" spans="1:8" ht="30">
      <c r="A18" s="69">
        <v>621</v>
      </c>
      <c r="B18" s="69" t="s">
        <v>10</v>
      </c>
      <c r="C18" s="91">
        <v>120785297.28</v>
      </c>
      <c r="D18" s="91">
        <v>576406453.20000005</v>
      </c>
      <c r="E18" s="91">
        <v>386004833.39999998</v>
      </c>
      <c r="F18" s="91">
        <f t="shared" si="0"/>
        <v>190401619.80000007</v>
      </c>
      <c r="G18" s="68">
        <f t="shared" si="1"/>
        <v>63.44</v>
      </c>
      <c r="H18" s="68">
        <v>5</v>
      </c>
    </row>
    <row r="19" spans="1:8" ht="45">
      <c r="A19" s="69">
        <v>624</v>
      </c>
      <c r="B19" s="69" t="s">
        <v>171</v>
      </c>
      <c r="C19" s="91">
        <v>84006717.650000006</v>
      </c>
      <c r="D19" s="91">
        <v>97158812.489999995</v>
      </c>
      <c r="E19" s="91">
        <v>470220</v>
      </c>
      <c r="F19" s="91">
        <f t="shared" si="0"/>
        <v>96688592.489999995</v>
      </c>
      <c r="G19" s="68">
        <f t="shared" si="1"/>
        <v>86.88</v>
      </c>
      <c r="H19" s="68">
        <v>5</v>
      </c>
    </row>
    <row r="20" spans="1:8">
      <c r="C20" s="93">
        <f>SUM(C6:C19)</f>
        <v>3122296800.6599998</v>
      </c>
      <c r="D20" s="93">
        <f>SUM(D6:D19)</f>
        <v>8297580674.6099997</v>
      </c>
      <c r="E20" s="93">
        <f>SUM(E6:E19)</f>
        <v>4638698207.3900003</v>
      </c>
      <c r="F20" s="93">
        <f>SUM(F6:F19)</f>
        <v>3665042657.2200003</v>
      </c>
    </row>
    <row r="22" spans="1:8" ht="15.75" thickBot="1">
      <c r="C22" s="94">
        <v>3116136610.6599998</v>
      </c>
      <c r="D22" s="95">
        <f>8301942309.75-2880530.84-1481104.3</f>
        <v>8297580674.6099997</v>
      </c>
      <c r="E22" s="96">
        <v>4638698207.3900003</v>
      </c>
      <c r="F22" s="97">
        <f>D22-E22</f>
        <v>3658882467.2199993</v>
      </c>
    </row>
    <row r="23" spans="1:8">
      <c r="C23" s="93">
        <f>C20-C22</f>
        <v>6160190</v>
      </c>
      <c r="D23" s="93">
        <f>D20-D22</f>
        <v>0</v>
      </c>
      <c r="E23" s="93">
        <f>E20-E22</f>
        <v>0</v>
      </c>
      <c r="F23" s="93">
        <f>F20-F22</f>
        <v>6160190.0000009537</v>
      </c>
    </row>
  </sheetData>
  <sheetProtection formatCells="0" formatColumns="0" formatRows="0" insertColumns="0" insertRows="0" insertHyperlinks="0" deleteColumns="0" deleteRows="0" sort="0" autoFilter="0" pivotTables="0"/>
  <sortState ref="A6:H23">
    <sortCondition ref="A6"/>
  </sortState>
  <mergeCells count="2">
    <mergeCell ref="A1:H1"/>
    <mergeCell ref="A2:H2"/>
  </mergeCells>
  <pageMargins left="0.35433070866141736" right="0.19685039370078741" top="0.74803149606299213" bottom="0.74803149606299213" header="0.31496062992125984" footer="0.31496062992125984"/>
  <pageSetup paperSize="9" scale="5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tabColor rgb="FF92D050"/>
  </sheetPr>
  <dimension ref="A1:G23"/>
  <sheetViews>
    <sheetView view="pageBreakPreview" zoomScale="84" zoomScaleNormal="75" zoomScaleSheetLayoutView="84" workbookViewId="0">
      <selection activeCell="A19" sqref="A19:F19"/>
    </sheetView>
  </sheetViews>
  <sheetFormatPr defaultColWidth="9.140625" defaultRowHeight="15"/>
  <cols>
    <col min="1" max="1" width="8.42578125" style="88" customWidth="1"/>
    <col min="2" max="2" width="41.140625" style="87" customWidth="1"/>
    <col min="3" max="3" width="24.85546875" style="87" customWidth="1"/>
    <col min="4" max="4" width="22.85546875" style="87" customWidth="1"/>
    <col min="5" max="5" width="19.5703125" style="87" customWidth="1"/>
    <col min="6" max="6" width="13.140625" style="87" customWidth="1"/>
    <col min="7" max="7" width="13.42578125" style="87" bestFit="1" customWidth="1"/>
    <col min="8" max="16384" width="9.140625" style="87"/>
  </cols>
  <sheetData>
    <row r="1" spans="1:7" s="86" customFormat="1" ht="20.25">
      <c r="A1" s="125" t="s">
        <v>17</v>
      </c>
      <c r="B1" s="125"/>
      <c r="C1" s="125"/>
      <c r="D1" s="125"/>
      <c r="E1" s="125"/>
      <c r="F1" s="125"/>
    </row>
    <row r="2" spans="1:7" ht="19.5">
      <c r="A2" s="126" t="s">
        <v>18</v>
      </c>
      <c r="B2" s="126"/>
      <c r="C2" s="126"/>
      <c r="D2" s="126"/>
      <c r="E2" s="126"/>
      <c r="F2" s="126"/>
    </row>
    <row r="4" spans="1:7">
      <c r="F4" s="89" t="s">
        <v>150</v>
      </c>
    </row>
    <row r="5" spans="1:7" ht="105">
      <c r="A5" s="77" t="s">
        <v>11</v>
      </c>
      <c r="B5" s="77" t="s">
        <v>12</v>
      </c>
      <c r="C5" s="77" t="s">
        <v>19</v>
      </c>
      <c r="D5" s="77" t="s">
        <v>20</v>
      </c>
      <c r="E5" s="77" t="s">
        <v>39</v>
      </c>
      <c r="F5" s="77" t="s">
        <v>15</v>
      </c>
    </row>
    <row r="6" spans="1:7">
      <c r="A6" s="90">
        <v>601</v>
      </c>
      <c r="B6" s="90" t="s">
        <v>1</v>
      </c>
      <c r="C6" s="98">
        <v>222716283.15000001</v>
      </c>
      <c r="D6" s="98">
        <v>221333598.44</v>
      </c>
      <c r="E6" s="68">
        <f t="shared" ref="E6:E20" si="0">ROUND((C6-D6)/C6*100,2)</f>
        <v>0.62</v>
      </c>
      <c r="F6" s="68">
        <v>4</v>
      </c>
      <c r="G6" s="93"/>
    </row>
    <row r="7" spans="1:7" ht="30">
      <c r="A7" s="69">
        <v>602</v>
      </c>
      <c r="B7" s="69" t="s">
        <v>2</v>
      </c>
      <c r="C7" s="98">
        <v>84077700.969999999</v>
      </c>
      <c r="D7" s="98">
        <v>83459641.019999996</v>
      </c>
      <c r="E7" s="68">
        <f t="shared" si="0"/>
        <v>0.74</v>
      </c>
      <c r="F7" s="68">
        <v>4</v>
      </c>
      <c r="G7" s="93"/>
    </row>
    <row r="8" spans="1:7" ht="30">
      <c r="A8" s="69">
        <v>604</v>
      </c>
      <c r="B8" s="69" t="s">
        <v>3</v>
      </c>
      <c r="C8" s="98">
        <v>39736529.740000002</v>
      </c>
      <c r="D8" s="98">
        <v>38975437.170000002</v>
      </c>
      <c r="E8" s="68">
        <f t="shared" si="0"/>
        <v>1.92</v>
      </c>
      <c r="F8" s="68">
        <v>3</v>
      </c>
      <c r="G8" s="93"/>
    </row>
    <row r="9" spans="1:7" ht="30">
      <c r="A9" s="69">
        <v>605</v>
      </c>
      <c r="B9" s="69" t="s">
        <v>4</v>
      </c>
      <c r="C9" s="98">
        <v>28733652.370000001</v>
      </c>
      <c r="D9" s="98">
        <v>28733365.940000001</v>
      </c>
      <c r="E9" s="68">
        <f t="shared" si="0"/>
        <v>0</v>
      </c>
      <c r="F9" s="68">
        <v>5</v>
      </c>
      <c r="G9" s="93"/>
    </row>
    <row r="10" spans="1:7" ht="30">
      <c r="A10" s="69">
        <v>606</v>
      </c>
      <c r="B10" s="69" t="s">
        <v>167</v>
      </c>
      <c r="C10" s="98">
        <v>3153782367.9099998</v>
      </c>
      <c r="D10" s="98">
        <v>3143183337.0900002</v>
      </c>
      <c r="E10" s="68">
        <f t="shared" si="0"/>
        <v>0.34</v>
      </c>
      <c r="F10" s="68">
        <v>5</v>
      </c>
      <c r="G10" s="93"/>
    </row>
    <row r="11" spans="1:7" ht="30">
      <c r="A11" s="69">
        <v>607</v>
      </c>
      <c r="B11" s="69" t="s">
        <v>168</v>
      </c>
      <c r="C11" s="98">
        <v>298894239.94</v>
      </c>
      <c r="D11" s="98">
        <v>297945915.92000002</v>
      </c>
      <c r="E11" s="68">
        <f t="shared" si="0"/>
        <v>0.32</v>
      </c>
      <c r="F11" s="68">
        <v>5</v>
      </c>
      <c r="G11" s="93"/>
    </row>
    <row r="12" spans="1:7" ht="45">
      <c r="A12" s="69">
        <v>609</v>
      </c>
      <c r="B12" s="69" t="s">
        <v>169</v>
      </c>
      <c r="C12" s="98">
        <v>1786245915.3399999</v>
      </c>
      <c r="D12" s="98">
        <v>1785415760.6300001</v>
      </c>
      <c r="E12" s="68">
        <f t="shared" si="0"/>
        <v>0.05</v>
      </c>
      <c r="F12" s="68">
        <v>5</v>
      </c>
      <c r="G12" s="93"/>
    </row>
    <row r="13" spans="1:7" ht="45">
      <c r="A13" s="69">
        <v>611</v>
      </c>
      <c r="B13" s="69" t="s">
        <v>170</v>
      </c>
      <c r="C13" s="98">
        <v>203838737.83000001</v>
      </c>
      <c r="D13" s="98">
        <v>202285000.29999998</v>
      </c>
      <c r="E13" s="68">
        <f t="shared" si="0"/>
        <v>0.76</v>
      </c>
      <c r="F13" s="68">
        <v>4</v>
      </c>
      <c r="G13" s="93"/>
    </row>
    <row r="14" spans="1:7" ht="30">
      <c r="A14" s="69">
        <v>617</v>
      </c>
      <c r="B14" s="69" t="s">
        <v>6</v>
      </c>
      <c r="C14" s="98">
        <v>112037903.01000001</v>
      </c>
      <c r="D14" s="98">
        <v>106398144.81</v>
      </c>
      <c r="E14" s="68">
        <f t="shared" si="0"/>
        <v>5.03</v>
      </c>
      <c r="F14" s="68">
        <v>2</v>
      </c>
      <c r="G14" s="93"/>
    </row>
    <row r="15" spans="1:7" ht="30">
      <c r="A15" s="69">
        <v>618</v>
      </c>
      <c r="B15" s="69" t="s">
        <v>7</v>
      </c>
      <c r="C15" s="98">
        <v>102974662.89</v>
      </c>
      <c r="D15" s="98">
        <v>102928662.29000001</v>
      </c>
      <c r="E15" s="68">
        <f t="shared" si="0"/>
        <v>0.04</v>
      </c>
      <c r="F15" s="68">
        <v>5</v>
      </c>
      <c r="G15" s="93"/>
    </row>
    <row r="16" spans="1:7" ht="30">
      <c r="A16" s="69">
        <v>619</v>
      </c>
      <c r="B16" s="69" t="s">
        <v>8</v>
      </c>
      <c r="C16" s="98">
        <v>162274660.15000001</v>
      </c>
      <c r="D16" s="98">
        <v>162127665.84999999</v>
      </c>
      <c r="E16" s="68">
        <f t="shared" si="0"/>
        <v>0.09</v>
      </c>
      <c r="F16" s="68">
        <v>5</v>
      </c>
      <c r="G16" s="93"/>
    </row>
    <row r="17" spans="1:7" ht="30">
      <c r="A17" s="69">
        <v>620</v>
      </c>
      <c r="B17" s="69" t="s">
        <v>9</v>
      </c>
      <c r="C17" s="98">
        <v>1428702755.6199999</v>
      </c>
      <c r="D17" s="98">
        <v>1272709323.3299997</v>
      </c>
      <c r="E17" s="68">
        <f t="shared" si="0"/>
        <v>10.92</v>
      </c>
      <c r="F17" s="68">
        <v>1</v>
      </c>
      <c r="G17" s="93"/>
    </row>
    <row r="18" spans="1:7" ht="30">
      <c r="A18" s="69">
        <v>621</v>
      </c>
      <c r="B18" s="69" t="s">
        <v>10</v>
      </c>
      <c r="C18" s="98">
        <v>576406453.20000005</v>
      </c>
      <c r="D18" s="98">
        <v>167099780.91</v>
      </c>
      <c r="E18" s="68">
        <f t="shared" si="0"/>
        <v>71.010000000000005</v>
      </c>
      <c r="F18" s="68">
        <v>0</v>
      </c>
      <c r="G18" s="93"/>
    </row>
    <row r="19" spans="1:7" ht="45">
      <c r="A19" s="69">
        <v>624</v>
      </c>
      <c r="B19" s="69" t="s">
        <v>171</v>
      </c>
      <c r="C19" s="98">
        <v>97158812.489999995</v>
      </c>
      <c r="D19" s="98">
        <v>97128996.289999992</v>
      </c>
      <c r="E19" s="68">
        <f t="shared" si="0"/>
        <v>0.03</v>
      </c>
      <c r="F19" s="68">
        <v>5</v>
      </c>
      <c r="G19" s="93"/>
    </row>
    <row r="20" spans="1:7" ht="15.75" thickBot="1">
      <c r="A20" s="99"/>
      <c r="B20" s="100"/>
      <c r="C20" s="110">
        <f>SUM(C6:C19)</f>
        <v>8297580674.6099997</v>
      </c>
      <c r="D20" s="110">
        <f>SUM(D6:D19)</f>
        <v>7709724629.9900017</v>
      </c>
      <c r="E20" s="111">
        <f t="shared" si="0"/>
        <v>7.08</v>
      </c>
    </row>
    <row r="22" spans="1:7">
      <c r="C22" s="95">
        <f>8301942309.75-2880530.84-1481104.3</f>
        <v>8297580674.6099997</v>
      </c>
      <c r="D22" s="95">
        <f>7714086265.13-2880530.84-1481104.3</f>
        <v>7709724629.9899998</v>
      </c>
    </row>
    <row r="23" spans="1:7">
      <c r="C23" s="97">
        <f>C20-C22</f>
        <v>0</v>
      </c>
      <c r="D23" s="97">
        <f>D20-D22</f>
        <v>0</v>
      </c>
    </row>
  </sheetData>
  <sheetProtection formatCells="0" formatColumns="0" formatRows="0" insertColumns="0" insertRows="0" insertHyperlinks="0" deleteColumns="0" deleteRows="0" sort="0" autoFilter="0" pivotTables="0"/>
  <sortState ref="A6:F23">
    <sortCondition ref="A6"/>
  </sortState>
  <mergeCells count="2">
    <mergeCell ref="A1:F1"/>
    <mergeCell ref="A2:F2"/>
  </mergeCells>
  <pageMargins left="0.35433070866141736" right="0.19685039370078741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29</vt:i4>
      </vt:variant>
      <vt:variant>
        <vt:lpstr>Именованные диапазоны</vt:lpstr>
      </vt:variant>
      <vt:variant>
        <vt:i4>20</vt:i4>
      </vt:variant>
    </vt:vector>
  </HeadingPairs>
  <TitlesOfParts>
    <vt:vector size="49" baseType="lpstr">
      <vt:lpstr>ИТОГИ мониторинга</vt:lpstr>
      <vt:lpstr>Рейтинг ГРБС</vt:lpstr>
      <vt:lpstr>Итоги по ГРБС</vt:lpstr>
      <vt:lpstr>Итоги по ГРБС без коэф. </vt:lpstr>
      <vt:lpstr>коррект. коээф.</vt:lpstr>
      <vt:lpstr> РАСЧЕТЫ по каждому  ГРБС</vt:lpstr>
      <vt:lpstr>1.1. кач. план.</vt:lpstr>
      <vt:lpstr>1.2. доля МЦП</vt:lpstr>
      <vt:lpstr>2.1. неис. БА</vt:lpstr>
      <vt:lpstr>2.2. неис. БА в части местн.</vt:lpstr>
      <vt:lpstr>2.3. равн.расх</vt:lpstr>
      <vt:lpstr>2.4. кред.зад. пост.</vt:lpstr>
      <vt:lpstr>2.5. плат. в бюдж.</vt:lpstr>
      <vt:lpstr>2.6. МЦП</vt:lpstr>
      <vt:lpstr>3.1. исп. дох.</vt:lpstr>
      <vt:lpstr>3.2. деб. зад.</vt:lpstr>
      <vt:lpstr>4.1. иски о возм. ущ.</vt:lpstr>
      <vt:lpstr>5.1. свед. о мерах</vt:lpstr>
      <vt:lpstr>5.2. свед. о инветариз</vt:lpstr>
      <vt:lpstr>5.3. свед. о рез-х фин. контр</vt:lpstr>
      <vt:lpstr>5.4. амортиз.</vt:lpstr>
      <vt:lpstr>5.5. мат.запасы</vt:lpstr>
      <vt:lpstr>6.1.фин.контр.</vt:lpstr>
      <vt:lpstr>6.2. подразд.фин.контр.</vt:lpstr>
      <vt:lpstr>6.3. объем недостач и хищений</vt:lpstr>
      <vt:lpstr>7.1. нал станд кач </vt:lpstr>
      <vt:lpstr>7.2. пров оценки кач</vt:lpstr>
      <vt:lpstr>7.3. доля мун. услуг</vt:lpstr>
      <vt:lpstr>8.1. квалиф.сотр.фин-эк.подразд</vt:lpstr>
      <vt:lpstr>' РАСЧЕТЫ по каждому  ГРБС'!Заголовки_для_печати</vt:lpstr>
      <vt:lpstr>' РАСЧЕТЫ по каждому  ГРБС'!Область_печати</vt:lpstr>
      <vt:lpstr>'1.1. кач. план.'!Область_печати</vt:lpstr>
      <vt:lpstr>'1.2. доля МЦП'!Область_печати</vt:lpstr>
      <vt:lpstr>'2.1. неис. БА'!Область_печати</vt:lpstr>
      <vt:lpstr>'2.2. неис. БА в части местн.'!Область_печати</vt:lpstr>
      <vt:lpstr>'2.3. равн.расх'!Область_печати</vt:lpstr>
      <vt:lpstr>'2.4. кред.зад. пост.'!Область_печати</vt:lpstr>
      <vt:lpstr>'2.5. плат. в бюдж.'!Область_печати</vt:lpstr>
      <vt:lpstr>'2.6. МЦП'!Область_печати</vt:lpstr>
      <vt:lpstr>'3.1. исп. дох.'!Область_печати</vt:lpstr>
      <vt:lpstr>'3.2. деб. зад.'!Область_печати</vt:lpstr>
      <vt:lpstr>'5.4. амортиз.'!Область_печати</vt:lpstr>
      <vt:lpstr>'5.5. мат.запасы'!Область_печати</vt:lpstr>
      <vt:lpstr>'6.3. объем недостач и хищений'!Область_печати</vt:lpstr>
      <vt:lpstr>'ИТОГИ мониторинга'!Область_печати</vt:lpstr>
      <vt:lpstr>'Итоги по ГРБС'!Область_печати</vt:lpstr>
      <vt:lpstr>'Итоги по ГРБС без коэф. '!Область_печати</vt:lpstr>
      <vt:lpstr>'коррект. коээф.'!Область_печати</vt:lpstr>
      <vt:lpstr>'Рейтинг ГРБС'!Область_печати</vt:lpstr>
    </vt:vector>
  </TitlesOfParts>
  <Company>Melkosoft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S.Karaeva</cp:lastModifiedBy>
  <cp:lastPrinted>2015-09-09T09:51:31Z</cp:lastPrinted>
  <dcterms:created xsi:type="dcterms:W3CDTF">2012-10-27T12:23:25Z</dcterms:created>
  <dcterms:modified xsi:type="dcterms:W3CDTF">2015-09-09T11:06:34Z</dcterms:modified>
</cp:coreProperties>
</file>